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54805fanni\Desktop\da inserire in atti\PIANO Riabilitazione\"/>
    </mc:Choice>
  </mc:AlternateContent>
  <bookViews>
    <workbookView xWindow="0" yWindow="0" windowWidth="16380" windowHeight="8196" tabRatio="500" firstSheet="3" activeTab="5"/>
  </bookViews>
  <sheets>
    <sheet name="00-BUDGET" sheetId="1" r:id="rId1"/>
    <sheet name="01-FATTURATO" sheetId="2" r:id="rId2"/>
    <sheet name="02-CAPACITA" sheetId="3" r:id="rId3"/>
    <sheet name="03-CAPILLARIZZAZIONE calc" sheetId="4" r:id="rId4"/>
    <sheet name="03-CAPILLARIZZAZIONE" sheetId="5" r:id="rId5"/>
    <sheet name="04 - TOTALE" sheetId="6" r:id="rId6"/>
  </sheets>
  <definedNames>
    <definedName name="_xlnm._FilterDatabase" localSheetId="3" hidden="1">'03-CAPILLARIZZAZIONE calc'!$A$1:$O$334</definedName>
    <definedName name="_xlnm._FilterDatabase" localSheetId="5" hidden="1">'04 - TOTALE'!$A$1:$J$31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1" i="6" l="1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A8" i="6"/>
  <c r="D7" i="6"/>
  <c r="C7" i="6"/>
  <c r="A7" i="6"/>
  <c r="D6" i="6"/>
  <c r="C6" i="6"/>
  <c r="A6" i="6"/>
  <c r="D5" i="6"/>
  <c r="C5" i="6"/>
  <c r="A5" i="6"/>
  <c r="D3" i="6"/>
  <c r="C3" i="6"/>
  <c r="A3" i="6"/>
  <c r="D2" i="6"/>
  <c r="C2" i="6"/>
  <c r="A2" i="6"/>
  <c r="D4" i="5"/>
  <c r="C4" i="5"/>
  <c r="B4" i="5"/>
  <c r="I334" i="4"/>
  <c r="G334" i="4"/>
  <c r="A334" i="4"/>
  <c r="I333" i="4"/>
  <c r="G333" i="4"/>
  <c r="A333" i="4"/>
  <c r="I332" i="4"/>
  <c r="G332" i="4"/>
  <c r="A332" i="4"/>
  <c r="I331" i="4"/>
  <c r="G331" i="4"/>
  <c r="A331" i="4"/>
  <c r="I330" i="4"/>
  <c r="G330" i="4"/>
  <c r="A330" i="4"/>
  <c r="I329" i="4"/>
  <c r="G329" i="4"/>
  <c r="A329" i="4"/>
  <c r="I328" i="4"/>
  <c r="G328" i="4"/>
  <c r="A328" i="4"/>
  <c r="I327" i="4"/>
  <c r="G327" i="4"/>
  <c r="A327" i="4"/>
  <c r="I326" i="4"/>
  <c r="G326" i="4"/>
  <c r="A326" i="4"/>
  <c r="I325" i="4"/>
  <c r="G325" i="4"/>
  <c r="A325" i="4"/>
  <c r="I324" i="4"/>
  <c r="G324" i="4"/>
  <c r="A324" i="4"/>
  <c r="I323" i="4"/>
  <c r="G323" i="4"/>
  <c r="A323" i="4"/>
  <c r="I322" i="4"/>
  <c r="G322" i="4"/>
  <c r="A322" i="4"/>
  <c r="I321" i="4"/>
  <c r="G321" i="4"/>
  <c r="A321" i="4"/>
  <c r="I320" i="4"/>
  <c r="G320" i="4"/>
  <c r="A320" i="4"/>
  <c r="I319" i="4"/>
  <c r="G319" i="4"/>
  <c r="A319" i="4"/>
  <c r="I318" i="4"/>
  <c r="G318" i="4"/>
  <c r="A318" i="4"/>
  <c r="I317" i="4"/>
  <c r="G317" i="4"/>
  <c r="A317" i="4"/>
  <c r="I316" i="4"/>
  <c r="G316" i="4"/>
  <c r="A316" i="4"/>
  <c r="I315" i="4"/>
  <c r="G315" i="4"/>
  <c r="A315" i="4"/>
  <c r="I314" i="4"/>
  <c r="G314" i="4"/>
  <c r="A314" i="4"/>
  <c r="I313" i="4"/>
  <c r="G313" i="4"/>
  <c r="A313" i="4"/>
  <c r="I312" i="4"/>
  <c r="G312" i="4"/>
  <c r="A312" i="4"/>
  <c r="I311" i="4"/>
  <c r="G311" i="4"/>
  <c r="A311" i="4"/>
  <c r="I310" i="4"/>
  <c r="G310" i="4"/>
  <c r="A310" i="4"/>
  <c r="I309" i="4"/>
  <c r="G309" i="4"/>
  <c r="A309" i="4"/>
  <c r="I308" i="4"/>
  <c r="G308" i="4"/>
  <c r="A308" i="4"/>
  <c r="I307" i="4"/>
  <c r="G307" i="4"/>
  <c r="A307" i="4"/>
  <c r="I306" i="4"/>
  <c r="G306" i="4"/>
  <c r="A306" i="4"/>
  <c r="I305" i="4"/>
  <c r="G305" i="4"/>
  <c r="A305" i="4"/>
  <c r="I304" i="4"/>
  <c r="G304" i="4"/>
  <c r="A304" i="4"/>
  <c r="I303" i="4"/>
  <c r="G303" i="4"/>
  <c r="A303" i="4"/>
  <c r="I302" i="4"/>
  <c r="G302" i="4"/>
  <c r="A302" i="4"/>
  <c r="I301" i="4"/>
  <c r="G301" i="4"/>
  <c r="A301" i="4"/>
  <c r="I300" i="4"/>
  <c r="G300" i="4"/>
  <c r="A300" i="4"/>
  <c r="I299" i="4"/>
  <c r="G299" i="4"/>
  <c r="A299" i="4"/>
  <c r="I298" i="4"/>
  <c r="G298" i="4"/>
  <c r="A298" i="4"/>
  <c r="I297" i="4"/>
  <c r="G297" i="4"/>
  <c r="A297" i="4"/>
  <c r="I296" i="4"/>
  <c r="G296" i="4"/>
  <c r="A296" i="4"/>
  <c r="I295" i="4"/>
  <c r="G295" i="4"/>
  <c r="A295" i="4"/>
  <c r="I294" i="4"/>
  <c r="G294" i="4"/>
  <c r="A294" i="4"/>
  <c r="I293" i="4"/>
  <c r="G293" i="4"/>
  <c r="A293" i="4"/>
  <c r="I292" i="4"/>
  <c r="G292" i="4"/>
  <c r="A292" i="4"/>
  <c r="I291" i="4"/>
  <c r="G291" i="4"/>
  <c r="A291" i="4"/>
  <c r="I290" i="4"/>
  <c r="G290" i="4"/>
  <c r="A290" i="4"/>
  <c r="I289" i="4"/>
  <c r="G289" i="4"/>
  <c r="A289" i="4"/>
  <c r="I288" i="4"/>
  <c r="G288" i="4"/>
  <c r="A288" i="4"/>
  <c r="I287" i="4"/>
  <c r="G287" i="4"/>
  <c r="A287" i="4"/>
  <c r="I286" i="4"/>
  <c r="G286" i="4"/>
  <c r="A286" i="4"/>
  <c r="I285" i="4"/>
  <c r="G285" i="4"/>
  <c r="A285" i="4"/>
  <c r="I284" i="4"/>
  <c r="G284" i="4"/>
  <c r="A284" i="4"/>
  <c r="I283" i="4"/>
  <c r="G283" i="4"/>
  <c r="A283" i="4"/>
  <c r="I282" i="4"/>
  <c r="G282" i="4"/>
  <c r="A282" i="4"/>
  <c r="I281" i="4"/>
  <c r="G281" i="4"/>
  <c r="A281" i="4"/>
  <c r="I280" i="4"/>
  <c r="G280" i="4"/>
  <c r="A280" i="4"/>
  <c r="I279" i="4"/>
  <c r="G279" i="4"/>
  <c r="A279" i="4"/>
  <c r="I278" i="4"/>
  <c r="G278" i="4"/>
  <c r="A278" i="4"/>
  <c r="I277" i="4"/>
  <c r="G277" i="4"/>
  <c r="A277" i="4"/>
  <c r="I276" i="4"/>
  <c r="G276" i="4"/>
  <c r="A276" i="4"/>
  <c r="I275" i="4"/>
  <c r="G275" i="4"/>
  <c r="A275" i="4"/>
  <c r="I274" i="4"/>
  <c r="G274" i="4"/>
  <c r="A274" i="4"/>
  <c r="I273" i="4"/>
  <c r="G273" i="4"/>
  <c r="A273" i="4"/>
  <c r="I272" i="4"/>
  <c r="G272" i="4"/>
  <c r="A272" i="4"/>
  <c r="I271" i="4"/>
  <c r="G271" i="4"/>
  <c r="A271" i="4"/>
  <c r="I270" i="4"/>
  <c r="G270" i="4"/>
  <c r="A270" i="4"/>
  <c r="I269" i="4"/>
  <c r="G269" i="4"/>
  <c r="A269" i="4"/>
  <c r="I268" i="4"/>
  <c r="G268" i="4"/>
  <c r="A268" i="4"/>
  <c r="I267" i="4"/>
  <c r="G267" i="4"/>
  <c r="A267" i="4"/>
  <c r="I266" i="4"/>
  <c r="G266" i="4"/>
  <c r="A266" i="4"/>
  <c r="I265" i="4"/>
  <c r="G265" i="4"/>
  <c r="A265" i="4"/>
  <c r="I264" i="4"/>
  <c r="G264" i="4"/>
  <c r="A264" i="4"/>
  <c r="I263" i="4"/>
  <c r="G263" i="4"/>
  <c r="A263" i="4"/>
  <c r="I262" i="4"/>
  <c r="G262" i="4"/>
  <c r="A262" i="4"/>
  <c r="I261" i="4"/>
  <c r="G261" i="4"/>
  <c r="A261" i="4"/>
  <c r="I260" i="4"/>
  <c r="G260" i="4"/>
  <c r="A260" i="4"/>
  <c r="I259" i="4"/>
  <c r="G259" i="4"/>
  <c r="A259" i="4"/>
  <c r="I258" i="4"/>
  <c r="G258" i="4"/>
  <c r="A258" i="4"/>
  <c r="I257" i="4"/>
  <c r="G257" i="4"/>
  <c r="A257" i="4"/>
  <c r="I256" i="4"/>
  <c r="G256" i="4"/>
  <c r="A256" i="4"/>
  <c r="I255" i="4"/>
  <c r="G255" i="4"/>
  <c r="A255" i="4"/>
  <c r="I254" i="4"/>
  <c r="G254" i="4"/>
  <c r="A254" i="4"/>
  <c r="I253" i="4"/>
  <c r="G253" i="4"/>
  <c r="A253" i="4"/>
  <c r="I252" i="4"/>
  <c r="G252" i="4"/>
  <c r="A252" i="4"/>
  <c r="I251" i="4"/>
  <c r="G251" i="4"/>
  <c r="A251" i="4"/>
  <c r="I250" i="4"/>
  <c r="G250" i="4"/>
  <c r="A250" i="4"/>
  <c r="I249" i="4"/>
  <c r="G249" i="4"/>
  <c r="A249" i="4"/>
  <c r="I248" i="4"/>
  <c r="G248" i="4"/>
  <c r="A248" i="4"/>
  <c r="I247" i="4"/>
  <c r="G247" i="4"/>
  <c r="A247" i="4"/>
  <c r="I246" i="4"/>
  <c r="G246" i="4"/>
  <c r="A246" i="4"/>
  <c r="I245" i="4"/>
  <c r="G245" i="4"/>
  <c r="A245" i="4"/>
  <c r="I244" i="4"/>
  <c r="G244" i="4"/>
  <c r="A244" i="4"/>
  <c r="I243" i="4"/>
  <c r="G243" i="4"/>
  <c r="A243" i="4"/>
  <c r="I242" i="4"/>
  <c r="G242" i="4"/>
  <c r="A242" i="4"/>
  <c r="I241" i="4"/>
  <c r="G241" i="4"/>
  <c r="A241" i="4"/>
  <c r="I240" i="4"/>
  <c r="G240" i="4"/>
  <c r="A240" i="4"/>
  <c r="I239" i="4"/>
  <c r="G239" i="4"/>
  <c r="A239" i="4"/>
  <c r="I238" i="4"/>
  <c r="G238" i="4"/>
  <c r="A238" i="4"/>
  <c r="I237" i="4"/>
  <c r="G237" i="4"/>
  <c r="A237" i="4"/>
  <c r="I236" i="4"/>
  <c r="G236" i="4"/>
  <c r="A236" i="4"/>
  <c r="I235" i="4"/>
  <c r="G235" i="4"/>
  <c r="A235" i="4"/>
  <c r="I234" i="4"/>
  <c r="G234" i="4"/>
  <c r="A234" i="4"/>
  <c r="I233" i="4"/>
  <c r="G233" i="4"/>
  <c r="A233" i="4"/>
  <c r="I232" i="4"/>
  <c r="G232" i="4"/>
  <c r="A232" i="4"/>
  <c r="I231" i="4"/>
  <c r="G231" i="4"/>
  <c r="A231" i="4"/>
  <c r="I230" i="4"/>
  <c r="G230" i="4"/>
  <c r="A230" i="4"/>
  <c r="I229" i="4"/>
  <c r="G229" i="4"/>
  <c r="A229" i="4"/>
  <c r="I228" i="4"/>
  <c r="G228" i="4"/>
  <c r="A228" i="4"/>
  <c r="I227" i="4"/>
  <c r="G227" i="4"/>
  <c r="A227" i="4"/>
  <c r="I226" i="4"/>
  <c r="G226" i="4"/>
  <c r="A226" i="4"/>
  <c r="I225" i="4"/>
  <c r="G225" i="4"/>
  <c r="A225" i="4"/>
  <c r="I224" i="4"/>
  <c r="G224" i="4"/>
  <c r="A224" i="4"/>
  <c r="I223" i="4"/>
  <c r="G223" i="4"/>
  <c r="A223" i="4"/>
  <c r="I222" i="4"/>
  <c r="G222" i="4"/>
  <c r="A222" i="4"/>
  <c r="I221" i="4"/>
  <c r="G221" i="4"/>
  <c r="A221" i="4"/>
  <c r="I220" i="4"/>
  <c r="G220" i="4"/>
  <c r="A220" i="4"/>
  <c r="I219" i="4"/>
  <c r="G219" i="4"/>
  <c r="A219" i="4"/>
  <c r="I218" i="4"/>
  <c r="G218" i="4"/>
  <c r="A218" i="4"/>
  <c r="I217" i="4"/>
  <c r="G217" i="4"/>
  <c r="A217" i="4"/>
  <c r="I216" i="4"/>
  <c r="G216" i="4"/>
  <c r="A216" i="4"/>
  <c r="I215" i="4"/>
  <c r="G215" i="4"/>
  <c r="A215" i="4"/>
  <c r="I214" i="4"/>
  <c r="G214" i="4"/>
  <c r="A214" i="4"/>
  <c r="I213" i="4"/>
  <c r="G213" i="4"/>
  <c r="A213" i="4"/>
  <c r="I212" i="4"/>
  <c r="G212" i="4"/>
  <c r="A212" i="4"/>
  <c r="I211" i="4"/>
  <c r="G211" i="4"/>
  <c r="A211" i="4"/>
  <c r="I210" i="4"/>
  <c r="G210" i="4"/>
  <c r="A210" i="4"/>
  <c r="I209" i="4"/>
  <c r="G209" i="4"/>
  <c r="A209" i="4"/>
  <c r="I208" i="4"/>
  <c r="G208" i="4"/>
  <c r="A208" i="4"/>
  <c r="I207" i="4"/>
  <c r="G207" i="4"/>
  <c r="A207" i="4"/>
  <c r="I206" i="4"/>
  <c r="G206" i="4"/>
  <c r="A206" i="4"/>
  <c r="I205" i="4"/>
  <c r="G205" i="4"/>
  <c r="A205" i="4"/>
  <c r="I204" i="4"/>
  <c r="G204" i="4"/>
  <c r="A204" i="4"/>
  <c r="I203" i="4"/>
  <c r="G203" i="4"/>
  <c r="A203" i="4"/>
  <c r="I202" i="4"/>
  <c r="G202" i="4"/>
  <c r="A202" i="4"/>
  <c r="I201" i="4"/>
  <c r="G201" i="4"/>
  <c r="A201" i="4"/>
  <c r="I200" i="4"/>
  <c r="G200" i="4"/>
  <c r="A200" i="4"/>
  <c r="I199" i="4"/>
  <c r="G199" i="4"/>
  <c r="A199" i="4"/>
  <c r="I198" i="4"/>
  <c r="G198" i="4"/>
  <c r="A198" i="4"/>
  <c r="I197" i="4"/>
  <c r="G197" i="4"/>
  <c r="A197" i="4"/>
  <c r="I196" i="4"/>
  <c r="G196" i="4"/>
  <c r="A196" i="4"/>
  <c r="I195" i="4"/>
  <c r="G195" i="4"/>
  <c r="A195" i="4"/>
  <c r="I194" i="4"/>
  <c r="G194" i="4"/>
  <c r="A194" i="4"/>
  <c r="I193" i="4"/>
  <c r="G193" i="4"/>
  <c r="A193" i="4"/>
  <c r="I192" i="4"/>
  <c r="G192" i="4"/>
  <c r="A192" i="4"/>
  <c r="I191" i="4"/>
  <c r="G191" i="4"/>
  <c r="A191" i="4"/>
  <c r="I190" i="4"/>
  <c r="G190" i="4"/>
  <c r="A190" i="4"/>
  <c r="I189" i="4"/>
  <c r="G189" i="4"/>
  <c r="A189" i="4"/>
  <c r="I188" i="4"/>
  <c r="G188" i="4"/>
  <c r="A188" i="4"/>
  <c r="I187" i="4"/>
  <c r="G187" i="4"/>
  <c r="A187" i="4"/>
  <c r="I186" i="4"/>
  <c r="G186" i="4"/>
  <c r="A186" i="4"/>
  <c r="I185" i="4"/>
  <c r="G185" i="4"/>
  <c r="A185" i="4"/>
  <c r="I184" i="4"/>
  <c r="G184" i="4"/>
  <c r="A184" i="4"/>
  <c r="I183" i="4"/>
  <c r="G183" i="4"/>
  <c r="A183" i="4"/>
  <c r="I182" i="4"/>
  <c r="G182" i="4"/>
  <c r="A182" i="4"/>
  <c r="I181" i="4"/>
  <c r="G181" i="4"/>
  <c r="A181" i="4"/>
  <c r="I180" i="4"/>
  <c r="G180" i="4"/>
  <c r="A180" i="4"/>
  <c r="I179" i="4"/>
  <c r="G179" i="4"/>
  <c r="A179" i="4"/>
  <c r="I178" i="4"/>
  <c r="G178" i="4"/>
  <c r="A178" i="4"/>
  <c r="I177" i="4"/>
  <c r="G177" i="4"/>
  <c r="A177" i="4"/>
  <c r="I176" i="4"/>
  <c r="G176" i="4"/>
  <c r="A176" i="4"/>
  <c r="I175" i="4"/>
  <c r="G175" i="4"/>
  <c r="A175" i="4"/>
  <c r="I174" i="4"/>
  <c r="G174" i="4"/>
  <c r="A174" i="4"/>
  <c r="I173" i="4"/>
  <c r="G173" i="4"/>
  <c r="A173" i="4"/>
  <c r="I172" i="4"/>
  <c r="G172" i="4"/>
  <c r="A172" i="4"/>
  <c r="I171" i="4"/>
  <c r="G171" i="4"/>
  <c r="A171" i="4"/>
  <c r="I170" i="4"/>
  <c r="G170" i="4"/>
  <c r="A170" i="4"/>
  <c r="I169" i="4"/>
  <c r="G169" i="4"/>
  <c r="A169" i="4"/>
  <c r="I168" i="4"/>
  <c r="G168" i="4"/>
  <c r="A168" i="4"/>
  <c r="I167" i="4"/>
  <c r="G167" i="4"/>
  <c r="A167" i="4"/>
  <c r="I166" i="4"/>
  <c r="G166" i="4"/>
  <c r="A166" i="4"/>
  <c r="I165" i="4"/>
  <c r="G165" i="4"/>
  <c r="A165" i="4"/>
  <c r="I164" i="4"/>
  <c r="G164" i="4"/>
  <c r="A164" i="4"/>
  <c r="I163" i="4"/>
  <c r="G163" i="4"/>
  <c r="A163" i="4"/>
  <c r="I162" i="4"/>
  <c r="G162" i="4"/>
  <c r="A162" i="4"/>
  <c r="I161" i="4"/>
  <c r="G161" i="4"/>
  <c r="A161" i="4"/>
  <c r="I160" i="4"/>
  <c r="G160" i="4"/>
  <c r="A160" i="4"/>
  <c r="I159" i="4"/>
  <c r="G159" i="4"/>
  <c r="A159" i="4"/>
  <c r="I158" i="4"/>
  <c r="G158" i="4"/>
  <c r="A158" i="4"/>
  <c r="I157" i="4"/>
  <c r="G157" i="4"/>
  <c r="A157" i="4"/>
  <c r="I156" i="4"/>
  <c r="G156" i="4"/>
  <c r="A156" i="4"/>
  <c r="I155" i="4"/>
  <c r="G155" i="4"/>
  <c r="A155" i="4"/>
  <c r="I154" i="4"/>
  <c r="G154" i="4"/>
  <c r="A154" i="4"/>
  <c r="I153" i="4"/>
  <c r="G153" i="4"/>
  <c r="A153" i="4"/>
  <c r="I152" i="4"/>
  <c r="G152" i="4"/>
  <c r="A152" i="4"/>
  <c r="I151" i="4"/>
  <c r="G151" i="4"/>
  <c r="A151" i="4"/>
  <c r="I150" i="4"/>
  <c r="G150" i="4"/>
  <c r="A150" i="4"/>
  <c r="I149" i="4"/>
  <c r="G149" i="4"/>
  <c r="A149" i="4"/>
  <c r="I148" i="4"/>
  <c r="G148" i="4"/>
  <c r="A148" i="4"/>
  <c r="I147" i="4"/>
  <c r="G147" i="4"/>
  <c r="A147" i="4"/>
  <c r="I146" i="4"/>
  <c r="G146" i="4"/>
  <c r="A146" i="4"/>
  <c r="I145" i="4"/>
  <c r="G145" i="4"/>
  <c r="A145" i="4"/>
  <c r="I144" i="4"/>
  <c r="G144" i="4"/>
  <c r="A144" i="4"/>
  <c r="I143" i="4"/>
  <c r="G143" i="4"/>
  <c r="A143" i="4"/>
  <c r="I142" i="4"/>
  <c r="G142" i="4"/>
  <c r="A142" i="4"/>
  <c r="I141" i="4"/>
  <c r="G141" i="4"/>
  <c r="A141" i="4"/>
  <c r="I140" i="4"/>
  <c r="G140" i="4"/>
  <c r="A140" i="4"/>
  <c r="I139" i="4"/>
  <c r="G139" i="4"/>
  <c r="A139" i="4"/>
  <c r="I138" i="4"/>
  <c r="G138" i="4"/>
  <c r="A138" i="4"/>
  <c r="I137" i="4"/>
  <c r="G137" i="4"/>
  <c r="A137" i="4"/>
  <c r="I136" i="4"/>
  <c r="G136" i="4"/>
  <c r="A136" i="4"/>
  <c r="I135" i="4"/>
  <c r="G135" i="4"/>
  <c r="A135" i="4"/>
  <c r="I134" i="4"/>
  <c r="G134" i="4"/>
  <c r="A134" i="4"/>
  <c r="I133" i="4"/>
  <c r="G133" i="4"/>
  <c r="A133" i="4"/>
  <c r="I132" i="4"/>
  <c r="G132" i="4"/>
  <c r="A132" i="4"/>
  <c r="I131" i="4"/>
  <c r="G131" i="4"/>
  <c r="A131" i="4"/>
  <c r="I130" i="4"/>
  <c r="G130" i="4"/>
  <c r="A130" i="4"/>
  <c r="I129" i="4"/>
  <c r="G129" i="4"/>
  <c r="A129" i="4"/>
  <c r="I128" i="4"/>
  <c r="G128" i="4"/>
  <c r="A128" i="4"/>
  <c r="I127" i="4"/>
  <c r="G127" i="4"/>
  <c r="A127" i="4"/>
  <c r="I126" i="4"/>
  <c r="G126" i="4"/>
  <c r="A126" i="4"/>
  <c r="I125" i="4"/>
  <c r="G125" i="4"/>
  <c r="A125" i="4"/>
  <c r="I124" i="4"/>
  <c r="G124" i="4"/>
  <c r="A124" i="4"/>
  <c r="I123" i="4"/>
  <c r="G123" i="4"/>
  <c r="A123" i="4"/>
  <c r="I122" i="4"/>
  <c r="G122" i="4"/>
  <c r="A122" i="4"/>
  <c r="I121" i="4"/>
  <c r="G121" i="4"/>
  <c r="A121" i="4"/>
  <c r="I120" i="4"/>
  <c r="G120" i="4"/>
  <c r="A120" i="4"/>
  <c r="I119" i="4"/>
  <c r="G119" i="4"/>
  <c r="A119" i="4"/>
  <c r="I118" i="4"/>
  <c r="G118" i="4"/>
  <c r="A118" i="4"/>
  <c r="I117" i="4"/>
  <c r="G117" i="4"/>
  <c r="A117" i="4"/>
  <c r="I116" i="4"/>
  <c r="G116" i="4"/>
  <c r="A116" i="4"/>
  <c r="I115" i="4"/>
  <c r="G115" i="4"/>
  <c r="A115" i="4"/>
  <c r="I114" i="4"/>
  <c r="G114" i="4"/>
  <c r="A114" i="4"/>
  <c r="I113" i="4"/>
  <c r="G113" i="4"/>
  <c r="A113" i="4"/>
  <c r="I112" i="4"/>
  <c r="G112" i="4"/>
  <c r="A112" i="4"/>
  <c r="I111" i="4"/>
  <c r="G111" i="4"/>
  <c r="A111" i="4"/>
  <c r="I110" i="4"/>
  <c r="G110" i="4"/>
  <c r="A110" i="4"/>
  <c r="I109" i="4"/>
  <c r="G109" i="4"/>
  <c r="H109" i="4" s="1"/>
  <c r="J109" i="4" s="1"/>
  <c r="K109" i="4" s="1"/>
  <c r="A109" i="4"/>
  <c r="I108" i="4"/>
  <c r="G108" i="4"/>
  <c r="A108" i="4"/>
  <c r="I107" i="4"/>
  <c r="G107" i="4"/>
  <c r="A107" i="4"/>
  <c r="I106" i="4"/>
  <c r="G106" i="4"/>
  <c r="A106" i="4"/>
  <c r="I105" i="4"/>
  <c r="G105" i="4"/>
  <c r="H105" i="4" s="1"/>
  <c r="J105" i="4" s="1"/>
  <c r="K105" i="4" s="1"/>
  <c r="A105" i="4"/>
  <c r="I104" i="4"/>
  <c r="G104" i="4"/>
  <c r="A104" i="4"/>
  <c r="I103" i="4"/>
  <c r="G103" i="4"/>
  <c r="A103" i="4"/>
  <c r="I102" i="4"/>
  <c r="G102" i="4"/>
  <c r="A102" i="4"/>
  <c r="I101" i="4"/>
  <c r="G101" i="4"/>
  <c r="H101" i="4" s="1"/>
  <c r="J101" i="4" s="1"/>
  <c r="K101" i="4" s="1"/>
  <c r="A101" i="4"/>
  <c r="I100" i="4"/>
  <c r="G100" i="4"/>
  <c r="A100" i="4"/>
  <c r="I99" i="4"/>
  <c r="G99" i="4"/>
  <c r="A99" i="4"/>
  <c r="I98" i="4"/>
  <c r="G98" i="4"/>
  <c r="A98" i="4"/>
  <c r="I97" i="4"/>
  <c r="G97" i="4"/>
  <c r="H97" i="4" s="1"/>
  <c r="J97" i="4" s="1"/>
  <c r="K97" i="4" s="1"/>
  <c r="A97" i="4"/>
  <c r="I96" i="4"/>
  <c r="G96" i="4"/>
  <c r="A96" i="4"/>
  <c r="I95" i="4"/>
  <c r="G95" i="4"/>
  <c r="H95" i="4" s="1"/>
  <c r="J95" i="4" s="1"/>
  <c r="K95" i="4" s="1"/>
  <c r="A95" i="4"/>
  <c r="I94" i="4"/>
  <c r="G94" i="4"/>
  <c r="A94" i="4"/>
  <c r="I93" i="4"/>
  <c r="G93" i="4"/>
  <c r="H93" i="4" s="1"/>
  <c r="J93" i="4" s="1"/>
  <c r="K93" i="4" s="1"/>
  <c r="A93" i="4"/>
  <c r="I92" i="4"/>
  <c r="G92" i="4"/>
  <c r="A92" i="4"/>
  <c r="I91" i="4"/>
  <c r="G91" i="4"/>
  <c r="A91" i="4"/>
  <c r="I90" i="4"/>
  <c r="G90" i="4"/>
  <c r="A90" i="4"/>
  <c r="I89" i="4"/>
  <c r="G89" i="4"/>
  <c r="H89" i="4" s="1"/>
  <c r="J89" i="4" s="1"/>
  <c r="K89" i="4" s="1"/>
  <c r="A89" i="4"/>
  <c r="I88" i="4"/>
  <c r="G88" i="4"/>
  <c r="A88" i="4"/>
  <c r="I87" i="4"/>
  <c r="G87" i="4"/>
  <c r="A87" i="4"/>
  <c r="I86" i="4"/>
  <c r="G86" i="4"/>
  <c r="A86" i="4"/>
  <c r="I85" i="4"/>
  <c r="G85" i="4"/>
  <c r="H85" i="4" s="1"/>
  <c r="J85" i="4" s="1"/>
  <c r="K85" i="4" s="1"/>
  <c r="A85" i="4"/>
  <c r="I84" i="4"/>
  <c r="G84" i="4"/>
  <c r="A84" i="4"/>
  <c r="I83" i="4"/>
  <c r="G83" i="4"/>
  <c r="A83" i="4"/>
  <c r="I82" i="4"/>
  <c r="G82" i="4"/>
  <c r="A82" i="4"/>
  <c r="I81" i="4"/>
  <c r="G81" i="4"/>
  <c r="H81" i="4" s="1"/>
  <c r="J81" i="4" s="1"/>
  <c r="K81" i="4" s="1"/>
  <c r="A81" i="4"/>
  <c r="I80" i="4"/>
  <c r="G80" i="4"/>
  <c r="A80" i="4"/>
  <c r="I79" i="4"/>
  <c r="G79" i="4"/>
  <c r="A79" i="4"/>
  <c r="I78" i="4"/>
  <c r="G78" i="4"/>
  <c r="A78" i="4"/>
  <c r="I77" i="4"/>
  <c r="G77" i="4"/>
  <c r="H77" i="4" s="1"/>
  <c r="J77" i="4" s="1"/>
  <c r="K77" i="4" s="1"/>
  <c r="A77" i="4"/>
  <c r="I76" i="4"/>
  <c r="G76" i="4"/>
  <c r="A76" i="4"/>
  <c r="I75" i="4"/>
  <c r="G75" i="4"/>
  <c r="A75" i="4"/>
  <c r="I74" i="4"/>
  <c r="G74" i="4"/>
  <c r="A74" i="4"/>
  <c r="I73" i="4"/>
  <c r="G73" i="4"/>
  <c r="H73" i="4" s="1"/>
  <c r="J73" i="4" s="1"/>
  <c r="K73" i="4" s="1"/>
  <c r="A73" i="4"/>
  <c r="I72" i="4"/>
  <c r="G72" i="4"/>
  <c r="A72" i="4"/>
  <c r="I71" i="4"/>
  <c r="G71" i="4"/>
  <c r="A71" i="4"/>
  <c r="I70" i="4"/>
  <c r="G70" i="4"/>
  <c r="A70" i="4"/>
  <c r="I69" i="4"/>
  <c r="G69" i="4"/>
  <c r="H69" i="4" s="1"/>
  <c r="J69" i="4" s="1"/>
  <c r="K69" i="4" s="1"/>
  <c r="A69" i="4"/>
  <c r="I68" i="4"/>
  <c r="G68" i="4"/>
  <c r="A68" i="4"/>
  <c r="I67" i="4"/>
  <c r="G67" i="4"/>
  <c r="A67" i="4"/>
  <c r="I66" i="4"/>
  <c r="G66" i="4"/>
  <c r="A66" i="4"/>
  <c r="I65" i="4"/>
  <c r="G65" i="4"/>
  <c r="H65" i="4" s="1"/>
  <c r="J65" i="4" s="1"/>
  <c r="K65" i="4" s="1"/>
  <c r="A65" i="4"/>
  <c r="I64" i="4"/>
  <c r="G64" i="4"/>
  <c r="A64" i="4"/>
  <c r="I63" i="4"/>
  <c r="G63" i="4"/>
  <c r="A63" i="4"/>
  <c r="I62" i="4"/>
  <c r="G62" i="4"/>
  <c r="A62" i="4"/>
  <c r="I61" i="4"/>
  <c r="G61" i="4"/>
  <c r="H61" i="4" s="1"/>
  <c r="J61" i="4" s="1"/>
  <c r="K61" i="4" s="1"/>
  <c r="A61" i="4"/>
  <c r="I60" i="4"/>
  <c r="G60" i="4"/>
  <c r="A60" i="4"/>
  <c r="I59" i="4"/>
  <c r="G59" i="4"/>
  <c r="A59" i="4"/>
  <c r="I58" i="4"/>
  <c r="G58" i="4"/>
  <c r="A58" i="4"/>
  <c r="I57" i="4"/>
  <c r="G57" i="4"/>
  <c r="H57" i="4" s="1"/>
  <c r="J57" i="4" s="1"/>
  <c r="K57" i="4" s="1"/>
  <c r="A57" i="4"/>
  <c r="I56" i="4"/>
  <c r="G56" i="4"/>
  <c r="A56" i="4"/>
  <c r="I55" i="4"/>
  <c r="G55" i="4"/>
  <c r="A55" i="4"/>
  <c r="I54" i="4"/>
  <c r="G54" i="4"/>
  <c r="A54" i="4"/>
  <c r="I53" i="4"/>
  <c r="G53" i="4"/>
  <c r="H53" i="4" s="1"/>
  <c r="J53" i="4" s="1"/>
  <c r="K53" i="4" s="1"/>
  <c r="A53" i="4"/>
  <c r="I52" i="4"/>
  <c r="G52" i="4"/>
  <c r="A52" i="4"/>
  <c r="I51" i="4"/>
  <c r="G51" i="4"/>
  <c r="A51" i="4"/>
  <c r="I50" i="4"/>
  <c r="G50" i="4"/>
  <c r="A50" i="4"/>
  <c r="I49" i="4"/>
  <c r="G49" i="4"/>
  <c r="H49" i="4" s="1"/>
  <c r="J49" i="4" s="1"/>
  <c r="K49" i="4" s="1"/>
  <c r="A49" i="4"/>
  <c r="I48" i="4"/>
  <c r="G48" i="4"/>
  <c r="A48" i="4"/>
  <c r="I47" i="4"/>
  <c r="G47" i="4"/>
  <c r="A47" i="4"/>
  <c r="I46" i="4"/>
  <c r="G46" i="4"/>
  <c r="A46" i="4"/>
  <c r="I45" i="4"/>
  <c r="G45" i="4"/>
  <c r="H45" i="4" s="1"/>
  <c r="J45" i="4" s="1"/>
  <c r="K45" i="4" s="1"/>
  <c r="A45" i="4"/>
  <c r="I44" i="4"/>
  <c r="G44" i="4"/>
  <c r="A44" i="4"/>
  <c r="I43" i="4"/>
  <c r="G43" i="4"/>
  <c r="A43" i="4"/>
  <c r="I42" i="4"/>
  <c r="G42" i="4"/>
  <c r="A42" i="4"/>
  <c r="I41" i="4"/>
  <c r="G41" i="4"/>
  <c r="H41" i="4" s="1"/>
  <c r="J41" i="4" s="1"/>
  <c r="K41" i="4" s="1"/>
  <c r="A41" i="4"/>
  <c r="I40" i="4"/>
  <c r="G40" i="4"/>
  <c r="A40" i="4"/>
  <c r="I39" i="4"/>
  <c r="G39" i="4"/>
  <c r="A39" i="4"/>
  <c r="I38" i="4"/>
  <c r="G38" i="4"/>
  <c r="A38" i="4"/>
  <c r="I37" i="4"/>
  <c r="G37" i="4"/>
  <c r="H37" i="4" s="1"/>
  <c r="J37" i="4" s="1"/>
  <c r="K37" i="4" s="1"/>
  <c r="A37" i="4"/>
  <c r="I36" i="4"/>
  <c r="G36" i="4"/>
  <c r="A36" i="4"/>
  <c r="I35" i="4"/>
  <c r="G35" i="4"/>
  <c r="A35" i="4"/>
  <c r="I34" i="4"/>
  <c r="G34" i="4"/>
  <c r="A34" i="4"/>
  <c r="I33" i="4"/>
  <c r="G33" i="4"/>
  <c r="H33" i="4" s="1"/>
  <c r="J33" i="4" s="1"/>
  <c r="K33" i="4" s="1"/>
  <c r="A33" i="4"/>
  <c r="I32" i="4"/>
  <c r="G32" i="4"/>
  <c r="A32" i="4"/>
  <c r="I31" i="4"/>
  <c r="G31" i="4"/>
  <c r="A31" i="4"/>
  <c r="I30" i="4"/>
  <c r="G30" i="4"/>
  <c r="A30" i="4"/>
  <c r="I29" i="4"/>
  <c r="G29" i="4"/>
  <c r="H29" i="4" s="1"/>
  <c r="J29" i="4" s="1"/>
  <c r="K29" i="4" s="1"/>
  <c r="A29" i="4"/>
  <c r="I28" i="4"/>
  <c r="G28" i="4"/>
  <c r="A28" i="4"/>
  <c r="I27" i="4"/>
  <c r="G27" i="4"/>
  <c r="A27" i="4"/>
  <c r="I26" i="4"/>
  <c r="G26" i="4"/>
  <c r="A26" i="4"/>
  <c r="I25" i="4"/>
  <c r="G25" i="4"/>
  <c r="H25" i="4" s="1"/>
  <c r="J25" i="4" s="1"/>
  <c r="K25" i="4" s="1"/>
  <c r="A25" i="4"/>
  <c r="I24" i="4"/>
  <c r="G24" i="4"/>
  <c r="A24" i="4"/>
  <c r="I23" i="4"/>
  <c r="G23" i="4"/>
  <c r="A23" i="4"/>
  <c r="I22" i="4"/>
  <c r="H22" i="4"/>
  <c r="J22" i="4" s="1"/>
  <c r="K22" i="4" s="1"/>
  <c r="G22" i="4"/>
  <c r="A22" i="4"/>
  <c r="I21" i="4"/>
  <c r="G21" i="4"/>
  <c r="H21" i="4" s="1"/>
  <c r="J21" i="4" s="1"/>
  <c r="K21" i="4" s="1"/>
  <c r="A21" i="4"/>
  <c r="I20" i="4"/>
  <c r="H20" i="4"/>
  <c r="J20" i="4" s="1"/>
  <c r="K20" i="4" s="1"/>
  <c r="G20" i="4"/>
  <c r="A20" i="4"/>
  <c r="J19" i="4"/>
  <c r="K19" i="4" s="1"/>
  <c r="I19" i="4"/>
  <c r="G19" i="4"/>
  <c r="H19" i="4" s="1"/>
  <c r="A19" i="4"/>
  <c r="I18" i="4"/>
  <c r="H18" i="4"/>
  <c r="J18" i="4" s="1"/>
  <c r="K18" i="4" s="1"/>
  <c r="G18" i="4"/>
  <c r="A18" i="4"/>
  <c r="I17" i="4"/>
  <c r="G17" i="4"/>
  <c r="H17" i="4" s="1"/>
  <c r="J17" i="4" s="1"/>
  <c r="K17" i="4" s="1"/>
  <c r="A17" i="4"/>
  <c r="I16" i="4"/>
  <c r="H16" i="4"/>
  <c r="J16" i="4" s="1"/>
  <c r="K16" i="4" s="1"/>
  <c r="G16" i="4"/>
  <c r="A16" i="4"/>
  <c r="J15" i="4"/>
  <c r="K15" i="4" s="1"/>
  <c r="I15" i="4"/>
  <c r="G15" i="4"/>
  <c r="H15" i="4" s="1"/>
  <c r="A15" i="4"/>
  <c r="I14" i="4"/>
  <c r="H14" i="4"/>
  <c r="J14" i="4" s="1"/>
  <c r="K14" i="4" s="1"/>
  <c r="G14" i="4"/>
  <c r="A14" i="4"/>
  <c r="I13" i="4"/>
  <c r="G13" i="4"/>
  <c r="H13" i="4" s="1"/>
  <c r="J13" i="4" s="1"/>
  <c r="K13" i="4" s="1"/>
  <c r="A13" i="4"/>
  <c r="I12" i="4"/>
  <c r="H12" i="4"/>
  <c r="J12" i="4" s="1"/>
  <c r="K12" i="4" s="1"/>
  <c r="G12" i="4"/>
  <c r="A12" i="4"/>
  <c r="J11" i="4"/>
  <c r="K11" i="4" s="1"/>
  <c r="I11" i="4"/>
  <c r="G11" i="4"/>
  <c r="H11" i="4" s="1"/>
  <c r="A11" i="4"/>
  <c r="I10" i="4"/>
  <c r="H10" i="4"/>
  <c r="J10" i="4" s="1"/>
  <c r="K10" i="4" s="1"/>
  <c r="G10" i="4"/>
  <c r="A10" i="4"/>
  <c r="I9" i="4"/>
  <c r="G9" i="4"/>
  <c r="H9" i="4" s="1"/>
  <c r="J9" i="4" s="1"/>
  <c r="K9" i="4" s="1"/>
  <c r="A9" i="4"/>
  <c r="I8" i="4"/>
  <c r="H8" i="4"/>
  <c r="J8" i="4" s="1"/>
  <c r="K8" i="4" s="1"/>
  <c r="G8" i="4"/>
  <c r="A8" i="4"/>
  <c r="J7" i="4"/>
  <c r="K7" i="4" s="1"/>
  <c r="I7" i="4"/>
  <c r="G7" i="4"/>
  <c r="H7" i="4" s="1"/>
  <c r="A7" i="4"/>
  <c r="I6" i="4"/>
  <c r="H6" i="4"/>
  <c r="J6" i="4" s="1"/>
  <c r="K6" i="4" s="1"/>
  <c r="G6" i="4"/>
  <c r="A6" i="4"/>
  <c r="I5" i="4"/>
  <c r="G5" i="4"/>
  <c r="H5" i="4" s="1"/>
  <c r="J5" i="4" s="1"/>
  <c r="K5" i="4" s="1"/>
  <c r="A5" i="4"/>
  <c r="I4" i="4"/>
  <c r="H4" i="4"/>
  <c r="J4" i="4" s="1"/>
  <c r="K4" i="4" s="1"/>
  <c r="G4" i="4"/>
  <c r="A4" i="4"/>
  <c r="J3" i="4"/>
  <c r="K3" i="4" s="1"/>
  <c r="I3" i="4"/>
  <c r="G3" i="4"/>
  <c r="H3" i="4" s="1"/>
  <c r="A3" i="4"/>
  <c r="I2" i="4"/>
  <c r="H2" i="4"/>
  <c r="J2" i="4" s="1"/>
  <c r="K2" i="4" s="1"/>
  <c r="G2" i="4"/>
  <c r="A2" i="4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3" i="3"/>
  <c r="C2" i="3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3" i="2"/>
  <c r="C2" i="2"/>
  <c r="D21" i="1"/>
  <c r="J20" i="1"/>
  <c r="G20" i="1"/>
  <c r="G19" i="1"/>
  <c r="G10" i="1"/>
  <c r="G12" i="1" s="1"/>
  <c r="B6" i="1"/>
  <c r="C5" i="1"/>
  <c r="B5" i="1"/>
  <c r="C4" i="1"/>
  <c r="C6" i="1" s="1"/>
  <c r="L20" i="1" l="1"/>
  <c r="H113" i="4"/>
  <c r="J113" i="4" s="1"/>
  <c r="K113" i="4" s="1"/>
  <c r="H121" i="4"/>
  <c r="J121" i="4" s="1"/>
  <c r="K121" i="4" s="1"/>
  <c r="H129" i="4"/>
  <c r="J129" i="4" s="1"/>
  <c r="K129" i="4" s="1"/>
  <c r="H137" i="4"/>
  <c r="J137" i="4" s="1"/>
  <c r="K137" i="4" s="1"/>
  <c r="H145" i="4"/>
  <c r="J145" i="4" s="1"/>
  <c r="K145" i="4" s="1"/>
  <c r="H153" i="4"/>
  <c r="J153" i="4" s="1"/>
  <c r="K153" i="4" s="1"/>
  <c r="G11" i="1"/>
  <c r="C11" i="1"/>
  <c r="E10" i="1"/>
  <c r="E12" i="1" s="1"/>
  <c r="C10" i="1"/>
  <c r="C12" i="1" s="1"/>
  <c r="H173" i="4"/>
  <c r="J173" i="4" s="1"/>
  <c r="K173" i="4" s="1"/>
  <c r="H119" i="4"/>
  <c r="J119" i="4" s="1"/>
  <c r="K119" i="4" s="1"/>
  <c r="H243" i="4"/>
  <c r="J243" i="4" s="1"/>
  <c r="K243" i="4" s="1"/>
  <c r="H143" i="4"/>
  <c r="J143" i="4" s="1"/>
  <c r="K143" i="4" s="1"/>
  <c r="H23" i="4"/>
  <c r="J23" i="4" s="1"/>
  <c r="K23" i="4" s="1"/>
  <c r="L20" i="4" s="1"/>
  <c r="H177" i="4"/>
  <c r="J177" i="4" s="1"/>
  <c r="K177" i="4" s="1"/>
  <c r="H151" i="4"/>
  <c r="J151" i="4" s="1"/>
  <c r="K151" i="4" s="1"/>
  <c r="H135" i="4"/>
  <c r="J135" i="4" s="1"/>
  <c r="K135" i="4" s="1"/>
  <c r="H127" i="4"/>
  <c r="J127" i="4" s="1"/>
  <c r="K127" i="4" s="1"/>
  <c r="H27" i="4"/>
  <c r="J27" i="4" s="1"/>
  <c r="K27" i="4" s="1"/>
  <c r="H31" i="4"/>
  <c r="J31" i="4" s="1"/>
  <c r="K31" i="4" s="1"/>
  <c r="H35" i="4"/>
  <c r="J35" i="4" s="1"/>
  <c r="K35" i="4" s="1"/>
  <c r="H39" i="4"/>
  <c r="J39" i="4" s="1"/>
  <c r="K39" i="4" s="1"/>
  <c r="H43" i="4"/>
  <c r="J43" i="4" s="1"/>
  <c r="K43" i="4" s="1"/>
  <c r="H47" i="4"/>
  <c r="J47" i="4" s="1"/>
  <c r="K47" i="4" s="1"/>
  <c r="H51" i="4"/>
  <c r="J51" i="4" s="1"/>
  <c r="K51" i="4" s="1"/>
  <c r="H55" i="4"/>
  <c r="J55" i="4" s="1"/>
  <c r="K55" i="4" s="1"/>
  <c r="H59" i="4"/>
  <c r="J59" i="4" s="1"/>
  <c r="K59" i="4" s="1"/>
  <c r="H63" i="4"/>
  <c r="J63" i="4" s="1"/>
  <c r="K63" i="4" s="1"/>
  <c r="H67" i="4"/>
  <c r="J67" i="4" s="1"/>
  <c r="K67" i="4" s="1"/>
  <c r="H71" i="4"/>
  <c r="J71" i="4" s="1"/>
  <c r="K71" i="4" s="1"/>
  <c r="H75" i="4"/>
  <c r="J75" i="4" s="1"/>
  <c r="K75" i="4" s="1"/>
  <c r="H79" i="4"/>
  <c r="J79" i="4" s="1"/>
  <c r="K79" i="4" s="1"/>
  <c r="H83" i="4"/>
  <c r="J83" i="4" s="1"/>
  <c r="K83" i="4" s="1"/>
  <c r="H87" i="4"/>
  <c r="J87" i="4" s="1"/>
  <c r="K87" i="4" s="1"/>
  <c r="H91" i="4"/>
  <c r="J91" i="4" s="1"/>
  <c r="K91" i="4" s="1"/>
  <c r="H99" i="4"/>
  <c r="J99" i="4" s="1"/>
  <c r="K99" i="4" s="1"/>
  <c r="H103" i="4"/>
  <c r="J103" i="4" s="1"/>
  <c r="K103" i="4" s="1"/>
  <c r="H107" i="4"/>
  <c r="J107" i="4" s="1"/>
  <c r="K107" i="4" s="1"/>
  <c r="H111" i="4"/>
  <c r="J111" i="4" s="1"/>
  <c r="K111" i="4" s="1"/>
  <c r="H115" i="4"/>
  <c r="J115" i="4" s="1"/>
  <c r="K115" i="4" s="1"/>
  <c r="H123" i="4"/>
  <c r="J123" i="4" s="1"/>
  <c r="K123" i="4" s="1"/>
  <c r="H131" i="4"/>
  <c r="J131" i="4" s="1"/>
  <c r="K131" i="4" s="1"/>
  <c r="H139" i="4"/>
  <c r="J139" i="4" s="1"/>
  <c r="K139" i="4" s="1"/>
  <c r="H147" i="4"/>
  <c r="J147" i="4" s="1"/>
  <c r="K147" i="4" s="1"/>
  <c r="J19" i="1"/>
  <c r="J21" i="1" s="1"/>
  <c r="L21" i="1" s="1"/>
  <c r="G21" i="1"/>
  <c r="E11" i="1"/>
  <c r="H26" i="4"/>
  <c r="J26" i="4" s="1"/>
  <c r="K26" i="4" s="1"/>
  <c r="H30" i="4"/>
  <c r="J30" i="4" s="1"/>
  <c r="K30" i="4" s="1"/>
  <c r="H32" i="4"/>
  <c r="J32" i="4" s="1"/>
  <c r="K32" i="4" s="1"/>
  <c r="H38" i="4"/>
  <c r="J38" i="4" s="1"/>
  <c r="K38" i="4" s="1"/>
  <c r="H40" i="4"/>
  <c r="J40" i="4" s="1"/>
  <c r="K40" i="4" s="1"/>
  <c r="H46" i="4"/>
  <c r="J46" i="4" s="1"/>
  <c r="K46" i="4" s="1"/>
  <c r="H50" i="4"/>
  <c r="J50" i="4" s="1"/>
  <c r="K50" i="4" s="1"/>
  <c r="H56" i="4"/>
  <c r="J56" i="4" s="1"/>
  <c r="K56" i="4" s="1"/>
  <c r="H60" i="4"/>
  <c r="J60" i="4" s="1"/>
  <c r="K60" i="4" s="1"/>
  <c r="H64" i="4"/>
  <c r="J64" i="4" s="1"/>
  <c r="K64" i="4" s="1"/>
  <c r="H66" i="4"/>
  <c r="J66" i="4" s="1"/>
  <c r="K66" i="4" s="1"/>
  <c r="H70" i="4"/>
  <c r="J70" i="4" s="1"/>
  <c r="K70" i="4" s="1"/>
  <c r="H72" i="4"/>
  <c r="J72" i="4" s="1"/>
  <c r="K72" i="4" s="1"/>
  <c r="H76" i="4"/>
  <c r="J76" i="4" s="1"/>
  <c r="K76" i="4" s="1"/>
  <c r="H80" i="4"/>
  <c r="J80" i="4" s="1"/>
  <c r="K80" i="4" s="1"/>
  <c r="H82" i="4"/>
  <c r="J82" i="4" s="1"/>
  <c r="K82" i="4" s="1"/>
  <c r="H86" i="4"/>
  <c r="J86" i="4" s="1"/>
  <c r="K86" i="4" s="1"/>
  <c r="H90" i="4"/>
  <c r="J90" i="4" s="1"/>
  <c r="K90" i="4" s="1"/>
  <c r="H92" i="4"/>
  <c r="J92" i="4" s="1"/>
  <c r="K92" i="4" s="1"/>
  <c r="H96" i="4"/>
  <c r="J96" i="4" s="1"/>
  <c r="K96" i="4" s="1"/>
  <c r="H100" i="4"/>
  <c r="J100" i="4" s="1"/>
  <c r="K100" i="4" s="1"/>
  <c r="H104" i="4"/>
  <c r="J104" i="4" s="1"/>
  <c r="K104" i="4" s="1"/>
  <c r="H106" i="4"/>
  <c r="J106" i="4" s="1"/>
  <c r="K106" i="4" s="1"/>
  <c r="H108" i="4"/>
  <c r="J108" i="4" s="1"/>
  <c r="K108" i="4" s="1"/>
  <c r="H110" i="4"/>
  <c r="J110" i="4" s="1"/>
  <c r="K110" i="4" s="1"/>
  <c r="H24" i="4"/>
  <c r="J24" i="4" s="1"/>
  <c r="K24" i="4" s="1"/>
  <c r="H28" i="4"/>
  <c r="J28" i="4" s="1"/>
  <c r="K28" i="4" s="1"/>
  <c r="H34" i="4"/>
  <c r="J34" i="4" s="1"/>
  <c r="K34" i="4" s="1"/>
  <c r="H42" i="4"/>
  <c r="J42" i="4" s="1"/>
  <c r="K42" i="4" s="1"/>
  <c r="H44" i="4"/>
  <c r="J44" i="4" s="1"/>
  <c r="K44" i="4" s="1"/>
  <c r="H48" i="4"/>
  <c r="J48" i="4" s="1"/>
  <c r="K48" i="4" s="1"/>
  <c r="H54" i="4"/>
  <c r="J54" i="4" s="1"/>
  <c r="K54" i="4" s="1"/>
  <c r="H58" i="4"/>
  <c r="J58" i="4" s="1"/>
  <c r="K58" i="4" s="1"/>
  <c r="H62" i="4"/>
  <c r="J62" i="4" s="1"/>
  <c r="K62" i="4" s="1"/>
  <c r="H68" i="4"/>
  <c r="J68" i="4" s="1"/>
  <c r="K68" i="4" s="1"/>
  <c r="H74" i="4"/>
  <c r="J74" i="4" s="1"/>
  <c r="K74" i="4" s="1"/>
  <c r="H78" i="4"/>
  <c r="J78" i="4" s="1"/>
  <c r="K78" i="4" s="1"/>
  <c r="H84" i="4"/>
  <c r="J84" i="4" s="1"/>
  <c r="K84" i="4" s="1"/>
  <c r="H88" i="4"/>
  <c r="J88" i="4" s="1"/>
  <c r="K88" i="4" s="1"/>
  <c r="H94" i="4"/>
  <c r="J94" i="4" s="1"/>
  <c r="K94" i="4" s="1"/>
  <c r="H98" i="4"/>
  <c r="J98" i="4" s="1"/>
  <c r="K98" i="4" s="1"/>
  <c r="H102" i="4"/>
  <c r="J102" i="4" s="1"/>
  <c r="K102" i="4" s="1"/>
  <c r="H116" i="4"/>
  <c r="J116" i="4" s="1"/>
  <c r="K116" i="4" s="1"/>
  <c r="F11" i="1"/>
  <c r="H155" i="4"/>
  <c r="J155" i="4" s="1"/>
  <c r="K155" i="4" s="1"/>
  <c r="H157" i="4"/>
  <c r="J157" i="4" s="1"/>
  <c r="K157" i="4" s="1"/>
  <c r="H159" i="4"/>
  <c r="J159" i="4" s="1"/>
  <c r="K159" i="4" s="1"/>
  <c r="H161" i="4"/>
  <c r="J161" i="4" s="1"/>
  <c r="K161" i="4" s="1"/>
  <c r="H163" i="4"/>
  <c r="J163" i="4" s="1"/>
  <c r="K163" i="4" s="1"/>
  <c r="H165" i="4"/>
  <c r="J165" i="4" s="1"/>
  <c r="K165" i="4" s="1"/>
  <c r="H167" i="4"/>
  <c r="J167" i="4" s="1"/>
  <c r="K167" i="4" s="1"/>
  <c r="H169" i="4"/>
  <c r="J169" i="4" s="1"/>
  <c r="K169" i="4" s="1"/>
  <c r="H171" i="4"/>
  <c r="J171" i="4" s="1"/>
  <c r="K171" i="4" s="1"/>
  <c r="H36" i="4"/>
  <c r="J36" i="4" s="1"/>
  <c r="K36" i="4" s="1"/>
  <c r="H52" i="4"/>
  <c r="J52" i="4" s="1"/>
  <c r="K52" i="4" s="1"/>
  <c r="H112" i="4"/>
  <c r="J112" i="4" s="1"/>
  <c r="K112" i="4" s="1"/>
  <c r="H179" i="4"/>
  <c r="J179" i="4" s="1"/>
  <c r="K179" i="4" s="1"/>
  <c r="D10" i="1"/>
  <c r="D12" i="1" s="1"/>
  <c r="B10" i="1"/>
  <c r="B12" i="1" s="1"/>
  <c r="F10" i="1"/>
  <c r="F12" i="1" s="1"/>
  <c r="H332" i="4"/>
  <c r="J332" i="4" s="1"/>
  <c r="K332" i="4" s="1"/>
  <c r="H325" i="4"/>
  <c r="J325" i="4" s="1"/>
  <c r="K325" i="4" s="1"/>
  <c r="H323" i="4"/>
  <c r="J323" i="4" s="1"/>
  <c r="K323" i="4" s="1"/>
  <c r="H321" i="4"/>
  <c r="J321" i="4" s="1"/>
  <c r="K321" i="4" s="1"/>
  <c r="H317" i="4"/>
  <c r="J317" i="4" s="1"/>
  <c r="K317" i="4" s="1"/>
  <c r="H313" i="4"/>
  <c r="J313" i="4" s="1"/>
  <c r="K313" i="4" s="1"/>
  <c r="H309" i="4"/>
  <c r="J309" i="4" s="1"/>
  <c r="K309" i="4" s="1"/>
  <c r="H305" i="4"/>
  <c r="J305" i="4" s="1"/>
  <c r="K305" i="4" s="1"/>
  <c r="H301" i="4"/>
  <c r="J301" i="4" s="1"/>
  <c r="K301" i="4" s="1"/>
  <c r="H297" i="4"/>
  <c r="J297" i="4" s="1"/>
  <c r="K297" i="4" s="1"/>
  <c r="H293" i="4"/>
  <c r="J293" i="4" s="1"/>
  <c r="K293" i="4" s="1"/>
  <c r="H289" i="4"/>
  <c r="J289" i="4" s="1"/>
  <c r="K289" i="4" s="1"/>
  <c r="H285" i="4"/>
  <c r="J285" i="4" s="1"/>
  <c r="K285" i="4" s="1"/>
  <c r="H281" i="4"/>
  <c r="J281" i="4" s="1"/>
  <c r="K281" i="4" s="1"/>
  <c r="H277" i="4"/>
  <c r="J277" i="4" s="1"/>
  <c r="K277" i="4" s="1"/>
  <c r="H334" i="4"/>
  <c r="J334" i="4" s="1"/>
  <c r="K334" i="4" s="1"/>
  <c r="H319" i="4"/>
  <c r="J319" i="4" s="1"/>
  <c r="K319" i="4" s="1"/>
  <c r="H315" i="4"/>
  <c r="J315" i="4" s="1"/>
  <c r="K315" i="4" s="1"/>
  <c r="H311" i="4"/>
  <c r="J311" i="4" s="1"/>
  <c r="K311" i="4" s="1"/>
  <c r="H307" i="4"/>
  <c r="J307" i="4" s="1"/>
  <c r="K307" i="4" s="1"/>
  <c r="H303" i="4"/>
  <c r="J303" i="4" s="1"/>
  <c r="K303" i="4" s="1"/>
  <c r="H299" i="4"/>
  <c r="J299" i="4" s="1"/>
  <c r="K299" i="4" s="1"/>
  <c r="H295" i="4"/>
  <c r="J295" i="4" s="1"/>
  <c r="K295" i="4" s="1"/>
  <c r="H291" i="4"/>
  <c r="J291" i="4" s="1"/>
  <c r="K291" i="4" s="1"/>
  <c r="H287" i="4"/>
  <c r="J287" i="4" s="1"/>
  <c r="K287" i="4" s="1"/>
  <c r="H283" i="4"/>
  <c r="J283" i="4" s="1"/>
  <c r="K283" i="4" s="1"/>
  <c r="H279" i="4"/>
  <c r="J279" i="4" s="1"/>
  <c r="K279" i="4" s="1"/>
  <c r="H271" i="4"/>
  <c r="J271" i="4" s="1"/>
  <c r="K271" i="4" s="1"/>
  <c r="H265" i="4"/>
  <c r="J265" i="4" s="1"/>
  <c r="K265" i="4" s="1"/>
  <c r="H257" i="4"/>
  <c r="J257" i="4" s="1"/>
  <c r="K257" i="4" s="1"/>
  <c r="H255" i="4"/>
  <c r="J255" i="4" s="1"/>
  <c r="K255" i="4" s="1"/>
  <c r="H253" i="4"/>
  <c r="J253" i="4" s="1"/>
  <c r="K253" i="4" s="1"/>
  <c r="H273" i="4"/>
  <c r="J273" i="4" s="1"/>
  <c r="K273" i="4" s="1"/>
  <c r="H275" i="4"/>
  <c r="J275" i="4" s="1"/>
  <c r="K275" i="4" s="1"/>
  <c r="H267" i="4"/>
  <c r="J267" i="4" s="1"/>
  <c r="K267" i="4" s="1"/>
  <c r="H263" i="4"/>
  <c r="J263" i="4" s="1"/>
  <c r="K263" i="4" s="1"/>
  <c r="H251" i="4"/>
  <c r="J251" i="4" s="1"/>
  <c r="K251" i="4" s="1"/>
  <c r="H186" i="4"/>
  <c r="J186" i="4" s="1"/>
  <c r="K186" i="4" s="1"/>
  <c r="H184" i="4"/>
  <c r="J184" i="4" s="1"/>
  <c r="K184" i="4" s="1"/>
  <c r="H182" i="4"/>
  <c r="J182" i="4" s="1"/>
  <c r="K182" i="4" s="1"/>
  <c r="H180" i="4"/>
  <c r="J180" i="4" s="1"/>
  <c r="K180" i="4" s="1"/>
  <c r="H178" i="4"/>
  <c r="J178" i="4" s="1"/>
  <c r="K178" i="4" s="1"/>
  <c r="H249" i="4"/>
  <c r="J249" i="4" s="1"/>
  <c r="K249" i="4" s="1"/>
  <c r="H241" i="4"/>
  <c r="J241" i="4" s="1"/>
  <c r="K241" i="4" s="1"/>
  <c r="H183" i="4"/>
  <c r="J183" i="4" s="1"/>
  <c r="K183" i="4" s="1"/>
  <c r="H175" i="4"/>
  <c r="J175" i="4" s="1"/>
  <c r="K175" i="4" s="1"/>
  <c r="H247" i="4"/>
  <c r="J247" i="4" s="1"/>
  <c r="K247" i="4" s="1"/>
  <c r="H239" i="4"/>
  <c r="J239" i="4" s="1"/>
  <c r="K239" i="4" s="1"/>
  <c r="H181" i="4"/>
  <c r="J181" i="4" s="1"/>
  <c r="K181" i="4" s="1"/>
  <c r="H154" i="4"/>
  <c r="J154" i="4" s="1"/>
  <c r="K154" i="4" s="1"/>
  <c r="H152" i="4"/>
  <c r="J152" i="4" s="1"/>
  <c r="K152" i="4" s="1"/>
  <c r="H150" i="4"/>
  <c r="J150" i="4" s="1"/>
  <c r="K150" i="4" s="1"/>
  <c r="H148" i="4"/>
  <c r="J148" i="4" s="1"/>
  <c r="K148" i="4" s="1"/>
  <c r="H146" i="4"/>
  <c r="J146" i="4" s="1"/>
  <c r="K146" i="4" s="1"/>
  <c r="H144" i="4"/>
  <c r="J144" i="4" s="1"/>
  <c r="K144" i="4" s="1"/>
  <c r="H142" i="4"/>
  <c r="J142" i="4" s="1"/>
  <c r="K142" i="4" s="1"/>
  <c r="H140" i="4"/>
  <c r="J140" i="4" s="1"/>
  <c r="K140" i="4" s="1"/>
  <c r="H138" i="4"/>
  <c r="J138" i="4" s="1"/>
  <c r="K138" i="4" s="1"/>
  <c r="H136" i="4"/>
  <c r="J136" i="4" s="1"/>
  <c r="K136" i="4" s="1"/>
  <c r="H134" i="4"/>
  <c r="J134" i="4" s="1"/>
  <c r="K134" i="4" s="1"/>
  <c r="H132" i="4"/>
  <c r="J132" i="4" s="1"/>
  <c r="K132" i="4" s="1"/>
  <c r="H130" i="4"/>
  <c r="J130" i="4" s="1"/>
  <c r="K130" i="4" s="1"/>
  <c r="H128" i="4"/>
  <c r="J128" i="4" s="1"/>
  <c r="K128" i="4" s="1"/>
  <c r="H126" i="4"/>
  <c r="J126" i="4" s="1"/>
  <c r="K126" i="4" s="1"/>
  <c r="H124" i="4"/>
  <c r="J124" i="4" s="1"/>
  <c r="K124" i="4" s="1"/>
  <c r="H122" i="4"/>
  <c r="J122" i="4" s="1"/>
  <c r="K122" i="4" s="1"/>
  <c r="H120" i="4"/>
  <c r="J120" i="4" s="1"/>
  <c r="K120" i="4" s="1"/>
  <c r="H118" i="4"/>
  <c r="J118" i="4" s="1"/>
  <c r="K118" i="4" s="1"/>
  <c r="H269" i="4"/>
  <c r="J269" i="4" s="1"/>
  <c r="K269" i="4" s="1"/>
  <c r="H245" i="4"/>
  <c r="J245" i="4" s="1"/>
  <c r="K245" i="4" s="1"/>
  <c r="H237" i="4"/>
  <c r="J237" i="4" s="1"/>
  <c r="K237" i="4" s="1"/>
  <c r="H235" i="4"/>
  <c r="J235" i="4" s="1"/>
  <c r="K235" i="4" s="1"/>
  <c r="H233" i="4"/>
  <c r="J233" i="4" s="1"/>
  <c r="K233" i="4" s="1"/>
  <c r="H231" i="4"/>
  <c r="J231" i="4" s="1"/>
  <c r="K231" i="4" s="1"/>
  <c r="H229" i="4"/>
  <c r="J229" i="4" s="1"/>
  <c r="K229" i="4" s="1"/>
  <c r="H227" i="4"/>
  <c r="J227" i="4" s="1"/>
  <c r="K227" i="4" s="1"/>
  <c r="H225" i="4"/>
  <c r="J225" i="4" s="1"/>
  <c r="K225" i="4" s="1"/>
  <c r="H223" i="4"/>
  <c r="J223" i="4" s="1"/>
  <c r="K223" i="4" s="1"/>
  <c r="H221" i="4"/>
  <c r="J221" i="4" s="1"/>
  <c r="K221" i="4" s="1"/>
  <c r="H219" i="4"/>
  <c r="J219" i="4" s="1"/>
  <c r="K219" i="4" s="1"/>
  <c r="H217" i="4"/>
  <c r="J217" i="4" s="1"/>
  <c r="K217" i="4" s="1"/>
  <c r="H215" i="4"/>
  <c r="J215" i="4" s="1"/>
  <c r="K215" i="4" s="1"/>
  <c r="H213" i="4"/>
  <c r="J213" i="4" s="1"/>
  <c r="K213" i="4" s="1"/>
  <c r="H211" i="4"/>
  <c r="J211" i="4" s="1"/>
  <c r="K211" i="4" s="1"/>
  <c r="H209" i="4"/>
  <c r="J209" i="4" s="1"/>
  <c r="K209" i="4" s="1"/>
  <c r="H207" i="4"/>
  <c r="J207" i="4" s="1"/>
  <c r="K207" i="4" s="1"/>
  <c r="H205" i="4"/>
  <c r="J205" i="4" s="1"/>
  <c r="K205" i="4" s="1"/>
  <c r="H203" i="4"/>
  <c r="J203" i="4" s="1"/>
  <c r="K203" i="4" s="1"/>
  <c r="H201" i="4"/>
  <c r="J201" i="4" s="1"/>
  <c r="K201" i="4" s="1"/>
  <c r="H199" i="4"/>
  <c r="J199" i="4" s="1"/>
  <c r="K199" i="4" s="1"/>
  <c r="H197" i="4"/>
  <c r="J197" i="4" s="1"/>
  <c r="K197" i="4" s="1"/>
  <c r="H195" i="4"/>
  <c r="J195" i="4" s="1"/>
  <c r="K195" i="4" s="1"/>
  <c r="H193" i="4"/>
  <c r="J193" i="4" s="1"/>
  <c r="K193" i="4" s="1"/>
  <c r="H191" i="4"/>
  <c r="J191" i="4" s="1"/>
  <c r="K191" i="4" s="1"/>
  <c r="H189" i="4"/>
  <c r="J189" i="4" s="1"/>
  <c r="K189" i="4" s="1"/>
  <c r="H187" i="4"/>
  <c r="J187" i="4" s="1"/>
  <c r="K187" i="4" s="1"/>
  <c r="H114" i="4"/>
  <c r="J114" i="4" s="1"/>
  <c r="K114" i="4" s="1"/>
  <c r="H117" i="4"/>
  <c r="J117" i="4" s="1"/>
  <c r="K117" i="4" s="1"/>
  <c r="H125" i="4"/>
  <c r="J125" i="4" s="1"/>
  <c r="K125" i="4" s="1"/>
  <c r="H133" i="4"/>
  <c r="J133" i="4" s="1"/>
  <c r="K133" i="4" s="1"/>
  <c r="H141" i="4"/>
  <c r="J141" i="4" s="1"/>
  <c r="K141" i="4" s="1"/>
  <c r="H149" i="4"/>
  <c r="J149" i="4" s="1"/>
  <c r="K149" i="4" s="1"/>
  <c r="H185" i="4"/>
  <c r="J185" i="4" s="1"/>
  <c r="K185" i="4" s="1"/>
  <c r="H176" i="4"/>
  <c r="J176" i="4" s="1"/>
  <c r="K176" i="4" s="1"/>
  <c r="H156" i="4"/>
  <c r="J156" i="4" s="1"/>
  <c r="K156" i="4" s="1"/>
  <c r="H158" i="4"/>
  <c r="J158" i="4" s="1"/>
  <c r="K158" i="4" s="1"/>
  <c r="H160" i="4"/>
  <c r="J160" i="4" s="1"/>
  <c r="K160" i="4" s="1"/>
  <c r="H162" i="4"/>
  <c r="J162" i="4" s="1"/>
  <c r="K162" i="4" s="1"/>
  <c r="H164" i="4"/>
  <c r="J164" i="4" s="1"/>
  <c r="K164" i="4" s="1"/>
  <c r="H166" i="4"/>
  <c r="J166" i="4" s="1"/>
  <c r="K166" i="4" s="1"/>
  <c r="H168" i="4"/>
  <c r="J168" i="4" s="1"/>
  <c r="K168" i="4" s="1"/>
  <c r="H170" i="4"/>
  <c r="J170" i="4" s="1"/>
  <c r="K170" i="4" s="1"/>
  <c r="H172" i="4"/>
  <c r="J172" i="4" s="1"/>
  <c r="K172" i="4" s="1"/>
  <c r="H174" i="4"/>
  <c r="J174" i="4" s="1"/>
  <c r="K174" i="4" s="1"/>
  <c r="H259" i="4"/>
  <c r="J259" i="4" s="1"/>
  <c r="K259" i="4" s="1"/>
  <c r="H261" i="4"/>
  <c r="J261" i="4" s="1"/>
  <c r="K261" i="4" s="1"/>
  <c r="H188" i="4"/>
  <c r="J188" i="4" s="1"/>
  <c r="K188" i="4" s="1"/>
  <c r="H190" i="4"/>
  <c r="J190" i="4" s="1"/>
  <c r="K190" i="4" s="1"/>
  <c r="H192" i="4"/>
  <c r="J192" i="4" s="1"/>
  <c r="K192" i="4" s="1"/>
  <c r="H194" i="4"/>
  <c r="J194" i="4" s="1"/>
  <c r="K194" i="4" s="1"/>
  <c r="H196" i="4"/>
  <c r="J196" i="4" s="1"/>
  <c r="K196" i="4" s="1"/>
  <c r="H198" i="4"/>
  <c r="J198" i="4" s="1"/>
  <c r="K198" i="4" s="1"/>
  <c r="H200" i="4"/>
  <c r="J200" i="4" s="1"/>
  <c r="K200" i="4" s="1"/>
  <c r="H202" i="4"/>
  <c r="J202" i="4" s="1"/>
  <c r="K202" i="4" s="1"/>
  <c r="H204" i="4"/>
  <c r="J204" i="4" s="1"/>
  <c r="K204" i="4" s="1"/>
  <c r="H206" i="4"/>
  <c r="J206" i="4" s="1"/>
  <c r="K206" i="4" s="1"/>
  <c r="H208" i="4"/>
  <c r="J208" i="4" s="1"/>
  <c r="K208" i="4" s="1"/>
  <c r="H210" i="4"/>
  <c r="J210" i="4" s="1"/>
  <c r="K210" i="4" s="1"/>
  <c r="H212" i="4"/>
  <c r="J212" i="4" s="1"/>
  <c r="K212" i="4" s="1"/>
  <c r="H214" i="4"/>
  <c r="J214" i="4" s="1"/>
  <c r="K214" i="4" s="1"/>
  <c r="H216" i="4"/>
  <c r="J216" i="4" s="1"/>
  <c r="K216" i="4" s="1"/>
  <c r="H218" i="4"/>
  <c r="J218" i="4" s="1"/>
  <c r="K218" i="4" s="1"/>
  <c r="H220" i="4"/>
  <c r="J220" i="4" s="1"/>
  <c r="K220" i="4" s="1"/>
  <c r="H222" i="4"/>
  <c r="J222" i="4" s="1"/>
  <c r="K222" i="4" s="1"/>
  <c r="H224" i="4"/>
  <c r="J224" i="4" s="1"/>
  <c r="K224" i="4" s="1"/>
  <c r="H226" i="4"/>
  <c r="J226" i="4" s="1"/>
  <c r="K226" i="4" s="1"/>
  <c r="H228" i="4"/>
  <c r="J228" i="4" s="1"/>
  <c r="K228" i="4" s="1"/>
  <c r="H230" i="4"/>
  <c r="J230" i="4" s="1"/>
  <c r="K230" i="4" s="1"/>
  <c r="H232" i="4"/>
  <c r="J232" i="4" s="1"/>
  <c r="K232" i="4" s="1"/>
  <c r="H234" i="4"/>
  <c r="J234" i="4" s="1"/>
  <c r="K234" i="4" s="1"/>
  <c r="H236" i="4"/>
  <c r="J236" i="4" s="1"/>
  <c r="K236" i="4" s="1"/>
  <c r="H238" i="4"/>
  <c r="J238" i="4" s="1"/>
  <c r="K238" i="4" s="1"/>
  <c r="H240" i="4"/>
  <c r="J240" i="4" s="1"/>
  <c r="K240" i="4" s="1"/>
  <c r="H242" i="4"/>
  <c r="J242" i="4" s="1"/>
  <c r="K242" i="4" s="1"/>
  <c r="H244" i="4"/>
  <c r="J244" i="4" s="1"/>
  <c r="K244" i="4" s="1"/>
  <c r="H246" i="4"/>
  <c r="J246" i="4" s="1"/>
  <c r="K246" i="4" s="1"/>
  <c r="H248" i="4"/>
  <c r="J248" i="4" s="1"/>
  <c r="K248" i="4" s="1"/>
  <c r="H250" i="4"/>
  <c r="J250" i="4" s="1"/>
  <c r="K250" i="4" s="1"/>
  <c r="H252" i="4"/>
  <c r="J252" i="4" s="1"/>
  <c r="K252" i="4" s="1"/>
  <c r="H254" i="4"/>
  <c r="J254" i="4" s="1"/>
  <c r="K254" i="4" s="1"/>
  <c r="H256" i="4"/>
  <c r="J256" i="4" s="1"/>
  <c r="K256" i="4" s="1"/>
  <c r="H258" i="4"/>
  <c r="J258" i="4" s="1"/>
  <c r="K258" i="4" s="1"/>
  <c r="H260" i="4"/>
  <c r="J260" i="4" s="1"/>
  <c r="K260" i="4" s="1"/>
  <c r="H262" i="4"/>
  <c r="J262" i="4" s="1"/>
  <c r="K262" i="4" s="1"/>
  <c r="H264" i="4"/>
  <c r="J264" i="4" s="1"/>
  <c r="K264" i="4" s="1"/>
  <c r="H266" i="4"/>
  <c r="J266" i="4" s="1"/>
  <c r="K266" i="4" s="1"/>
  <c r="H268" i="4"/>
  <c r="J268" i="4" s="1"/>
  <c r="K268" i="4" s="1"/>
  <c r="H270" i="4"/>
  <c r="J270" i="4" s="1"/>
  <c r="K270" i="4" s="1"/>
  <c r="L270" i="4" s="1"/>
  <c r="H272" i="4"/>
  <c r="J272" i="4" s="1"/>
  <c r="K272" i="4" s="1"/>
  <c r="H274" i="4"/>
  <c r="J274" i="4" s="1"/>
  <c r="K274" i="4" s="1"/>
  <c r="H276" i="4"/>
  <c r="J276" i="4" s="1"/>
  <c r="K276" i="4" s="1"/>
  <c r="H327" i="4"/>
  <c r="J327" i="4" s="1"/>
  <c r="K327" i="4" s="1"/>
  <c r="H329" i="4"/>
  <c r="J329" i="4" s="1"/>
  <c r="K329" i="4" s="1"/>
  <c r="H278" i="4"/>
  <c r="J278" i="4" s="1"/>
  <c r="K278" i="4" s="1"/>
  <c r="H280" i="4"/>
  <c r="J280" i="4" s="1"/>
  <c r="K280" i="4" s="1"/>
  <c r="H282" i="4"/>
  <c r="J282" i="4" s="1"/>
  <c r="K282" i="4" s="1"/>
  <c r="H284" i="4"/>
  <c r="J284" i="4" s="1"/>
  <c r="K284" i="4" s="1"/>
  <c r="H286" i="4"/>
  <c r="J286" i="4" s="1"/>
  <c r="K286" i="4" s="1"/>
  <c r="H288" i="4"/>
  <c r="J288" i="4" s="1"/>
  <c r="K288" i="4" s="1"/>
  <c r="H290" i="4"/>
  <c r="J290" i="4" s="1"/>
  <c r="K290" i="4" s="1"/>
  <c r="H292" i="4"/>
  <c r="J292" i="4" s="1"/>
  <c r="K292" i="4" s="1"/>
  <c r="H294" i="4"/>
  <c r="J294" i="4" s="1"/>
  <c r="K294" i="4" s="1"/>
  <c r="H296" i="4"/>
  <c r="J296" i="4" s="1"/>
  <c r="K296" i="4" s="1"/>
  <c r="H298" i="4"/>
  <c r="J298" i="4" s="1"/>
  <c r="K298" i="4" s="1"/>
  <c r="H300" i="4"/>
  <c r="J300" i="4" s="1"/>
  <c r="K300" i="4" s="1"/>
  <c r="H302" i="4"/>
  <c r="J302" i="4" s="1"/>
  <c r="K302" i="4" s="1"/>
  <c r="H304" i="4"/>
  <c r="J304" i="4" s="1"/>
  <c r="K304" i="4" s="1"/>
  <c r="H306" i="4"/>
  <c r="J306" i="4" s="1"/>
  <c r="K306" i="4" s="1"/>
  <c r="H308" i="4"/>
  <c r="J308" i="4" s="1"/>
  <c r="K308" i="4" s="1"/>
  <c r="H310" i="4"/>
  <c r="J310" i="4" s="1"/>
  <c r="K310" i="4" s="1"/>
  <c r="H312" i="4"/>
  <c r="J312" i="4" s="1"/>
  <c r="K312" i="4" s="1"/>
  <c r="H314" i="4"/>
  <c r="J314" i="4" s="1"/>
  <c r="K314" i="4" s="1"/>
  <c r="L314" i="4" s="1"/>
  <c r="H316" i="4"/>
  <c r="J316" i="4" s="1"/>
  <c r="K316" i="4" s="1"/>
  <c r="H318" i="4"/>
  <c r="J318" i="4" s="1"/>
  <c r="K318" i="4" s="1"/>
  <c r="H320" i="4"/>
  <c r="J320" i="4" s="1"/>
  <c r="K320" i="4" s="1"/>
  <c r="H322" i="4"/>
  <c r="J322" i="4" s="1"/>
  <c r="K322" i="4" s="1"/>
  <c r="L322" i="4" s="1"/>
  <c r="H324" i="4"/>
  <c r="J324" i="4" s="1"/>
  <c r="K324" i="4" s="1"/>
  <c r="H326" i="4"/>
  <c r="J326" i="4" s="1"/>
  <c r="K326" i="4" s="1"/>
  <c r="H328" i="4"/>
  <c r="J328" i="4" s="1"/>
  <c r="K328" i="4" s="1"/>
  <c r="H330" i="4"/>
  <c r="J330" i="4" s="1"/>
  <c r="K330" i="4" s="1"/>
  <c r="L330" i="4" s="1"/>
  <c r="H331" i="4"/>
  <c r="J331" i="4" s="1"/>
  <c r="K331" i="4" s="1"/>
  <c r="H333" i="4"/>
  <c r="J333" i="4" s="1"/>
  <c r="K333" i="4" s="1"/>
  <c r="O325" i="4" l="1"/>
  <c r="O330" i="4"/>
  <c r="O313" i="4"/>
  <c r="O281" i="4"/>
  <c r="O322" i="4"/>
  <c r="O314" i="4"/>
  <c r="O280" i="4"/>
  <c r="O310" i="4"/>
  <c r="O278" i="4"/>
  <c r="O276" i="4"/>
  <c r="O182" i="4"/>
  <c r="O282" i="4"/>
  <c r="O244" i="4"/>
  <c r="O254" i="4"/>
  <c r="O230" i="4"/>
  <c r="O222" i="4"/>
  <c r="O214" i="4"/>
  <c r="O198" i="4"/>
  <c r="O250" i="4"/>
  <c r="O148" i="4"/>
  <c r="O140" i="4"/>
  <c r="O124" i="4"/>
  <c r="O116" i="4"/>
  <c r="O149" i="4"/>
  <c r="O117" i="4"/>
  <c r="O20" i="4"/>
  <c r="O6" i="4"/>
  <c r="O51" i="4"/>
  <c r="O33" i="4"/>
  <c r="O147" i="4"/>
  <c r="O109" i="4"/>
  <c r="O97" i="4"/>
  <c r="O93" i="4"/>
  <c r="O89" i="4"/>
  <c r="O73" i="4"/>
  <c r="O53" i="4"/>
  <c r="O45" i="4"/>
  <c r="O31" i="4"/>
  <c r="O231" i="4"/>
  <c r="O215" i="4"/>
  <c r="O207" i="4"/>
  <c r="O199" i="4"/>
  <c r="O191" i="4"/>
  <c r="O157" i="4"/>
  <c r="O137" i="4"/>
  <c r="O135" i="4"/>
  <c r="I21" i="1"/>
  <c r="I20" i="1"/>
  <c r="I19" i="1"/>
  <c r="L298" i="4"/>
  <c r="O298" i="4" s="1"/>
  <c r="L254" i="4"/>
  <c r="L230" i="4"/>
  <c r="L206" i="4"/>
  <c r="O206" i="4" s="1"/>
  <c r="L174" i="4"/>
  <c r="O174" i="4" s="1"/>
  <c r="L149" i="4"/>
  <c r="L199" i="4"/>
  <c r="L223" i="4"/>
  <c r="O223" i="4" s="1"/>
  <c r="L245" i="4"/>
  <c r="O245" i="4" s="1"/>
  <c r="L130" i="4"/>
  <c r="O130" i="4" s="1"/>
  <c r="L146" i="4"/>
  <c r="O146" i="4" s="1"/>
  <c r="L175" i="4"/>
  <c r="O175" i="4" s="1"/>
  <c r="L186" i="4"/>
  <c r="O186" i="4" s="1"/>
  <c r="L275" i="4"/>
  <c r="O275" i="4" s="1"/>
  <c r="L257" i="4"/>
  <c r="O257" i="4" s="1"/>
  <c r="L283" i="4"/>
  <c r="O283" i="4" s="1"/>
  <c r="L299" i="4"/>
  <c r="O299" i="4" s="1"/>
  <c r="L315" i="4"/>
  <c r="O315" i="4" s="1"/>
  <c r="L281" i="4"/>
  <c r="L297" i="4"/>
  <c r="O297" i="4" s="1"/>
  <c r="L313" i="4"/>
  <c r="L325" i="4"/>
  <c r="H20" i="1"/>
  <c r="H21" i="1"/>
  <c r="H19" i="1"/>
  <c r="L36" i="4"/>
  <c r="O36" i="4" s="1"/>
  <c r="L165" i="4"/>
  <c r="O165" i="4" s="1"/>
  <c r="L157" i="4"/>
  <c r="L116" i="4"/>
  <c r="L88" i="4"/>
  <c r="O88" i="4" s="1"/>
  <c r="L68" i="4"/>
  <c r="O68" i="4" s="1"/>
  <c r="L48" i="4"/>
  <c r="O48" i="4" s="1"/>
  <c r="L28" i="4"/>
  <c r="O28" i="4" s="1"/>
  <c r="L108" i="4"/>
  <c r="O108" i="4" s="1"/>
  <c r="L96" i="4"/>
  <c r="O96" i="4" s="1"/>
  <c r="L82" i="4"/>
  <c r="O82" i="4" s="1"/>
  <c r="L70" i="4"/>
  <c r="O70" i="4" s="1"/>
  <c r="L56" i="4"/>
  <c r="O56" i="4" s="1"/>
  <c r="L38" i="4"/>
  <c r="O38" i="4" s="1"/>
  <c r="L73" i="4"/>
  <c r="L33" i="4"/>
  <c r="L6" i="4"/>
  <c r="D11" i="1"/>
  <c r="L123" i="4"/>
  <c r="O123" i="4" s="1"/>
  <c r="L103" i="4"/>
  <c r="O103" i="4" s="1"/>
  <c r="L83" i="4"/>
  <c r="O83" i="4" s="1"/>
  <c r="L67" i="4"/>
  <c r="O67" i="4" s="1"/>
  <c r="L51" i="4"/>
  <c r="L35" i="4"/>
  <c r="O35" i="4" s="1"/>
  <c r="L135" i="4"/>
  <c r="L143" i="4"/>
  <c r="O143" i="4" s="1"/>
  <c r="L89" i="4"/>
  <c r="L15" i="4"/>
  <c r="O15" i="4" s="1"/>
  <c r="L145" i="4"/>
  <c r="O145" i="4" s="1"/>
  <c r="L113" i="4"/>
  <c r="O113" i="4" s="1"/>
  <c r="L93" i="4"/>
  <c r="L53" i="4"/>
  <c r="L18" i="4"/>
  <c r="O18" i="4" s="1"/>
  <c r="L5" i="4"/>
  <c r="O5" i="4" s="1"/>
  <c r="L4" i="4"/>
  <c r="O4" i="4" s="1"/>
  <c r="L13" i="4"/>
  <c r="O13" i="4" s="1"/>
  <c r="L306" i="4"/>
  <c r="O306" i="4" s="1"/>
  <c r="L327" i="4"/>
  <c r="O327" i="4" s="1"/>
  <c r="L246" i="4"/>
  <c r="O246" i="4" s="1"/>
  <c r="L222" i="4"/>
  <c r="L198" i="4"/>
  <c r="L166" i="4"/>
  <c r="O166" i="4" s="1"/>
  <c r="L117" i="4"/>
  <c r="L207" i="4"/>
  <c r="L231" i="4"/>
  <c r="L122" i="4"/>
  <c r="O122" i="4" s="1"/>
  <c r="L138" i="4"/>
  <c r="O138" i="4" s="1"/>
  <c r="L154" i="4"/>
  <c r="O154" i="4" s="1"/>
  <c r="L178" i="4"/>
  <c r="O178" i="4" s="1"/>
  <c r="L328" i="4"/>
  <c r="O328" i="4" s="1"/>
  <c r="L320" i="4"/>
  <c r="O320" i="4" s="1"/>
  <c r="L312" i="4"/>
  <c r="O312" i="4" s="1"/>
  <c r="L304" i="4"/>
  <c r="O304" i="4" s="1"/>
  <c r="L296" i="4"/>
  <c r="O296" i="4" s="1"/>
  <c r="L288" i="4"/>
  <c r="O288" i="4" s="1"/>
  <c r="L280" i="4"/>
  <c r="L276" i="4"/>
  <c r="L268" i="4"/>
  <c r="O268" i="4" s="1"/>
  <c r="L260" i="4"/>
  <c r="O260" i="4" s="1"/>
  <c r="L252" i="4"/>
  <c r="O252" i="4" s="1"/>
  <c r="L244" i="4"/>
  <c r="L236" i="4"/>
  <c r="O236" i="4" s="1"/>
  <c r="L228" i="4"/>
  <c r="O228" i="4" s="1"/>
  <c r="L220" i="4"/>
  <c r="O220" i="4" s="1"/>
  <c r="L212" i="4"/>
  <c r="O212" i="4" s="1"/>
  <c r="L204" i="4"/>
  <c r="O204" i="4" s="1"/>
  <c r="L196" i="4"/>
  <c r="O196" i="4" s="1"/>
  <c r="L188" i="4"/>
  <c r="O188" i="4" s="1"/>
  <c r="L172" i="4"/>
  <c r="O172" i="4" s="1"/>
  <c r="L164" i="4"/>
  <c r="O164" i="4" s="1"/>
  <c r="L156" i="4"/>
  <c r="O156" i="4" s="1"/>
  <c r="L141" i="4"/>
  <c r="O141" i="4" s="1"/>
  <c r="L114" i="4"/>
  <c r="O114" i="4" s="1"/>
  <c r="L193" i="4"/>
  <c r="O193" i="4" s="1"/>
  <c r="L201" i="4"/>
  <c r="O201" i="4" s="1"/>
  <c r="L209" i="4"/>
  <c r="O209" i="4" s="1"/>
  <c r="L217" i="4"/>
  <c r="O217" i="4" s="1"/>
  <c r="L225" i="4"/>
  <c r="O225" i="4" s="1"/>
  <c r="L233" i="4"/>
  <c r="O233" i="4" s="1"/>
  <c r="L269" i="4"/>
  <c r="O269" i="4" s="1"/>
  <c r="L124" i="4"/>
  <c r="L132" i="4"/>
  <c r="O132" i="4" s="1"/>
  <c r="L140" i="4"/>
  <c r="L148" i="4"/>
  <c r="L181" i="4"/>
  <c r="O181" i="4" s="1"/>
  <c r="L183" i="4"/>
  <c r="O183" i="4" s="1"/>
  <c r="L180" i="4"/>
  <c r="O180" i="4" s="1"/>
  <c r="L251" i="4"/>
  <c r="O251" i="4" s="1"/>
  <c r="L273" i="4"/>
  <c r="O273" i="4" s="1"/>
  <c r="L265" i="4"/>
  <c r="O265" i="4" s="1"/>
  <c r="L287" i="4"/>
  <c r="O287" i="4" s="1"/>
  <c r="L303" i="4"/>
  <c r="O303" i="4" s="1"/>
  <c r="L319" i="4"/>
  <c r="O319" i="4" s="1"/>
  <c r="L285" i="4"/>
  <c r="O285" i="4" s="1"/>
  <c r="L301" i="4"/>
  <c r="O301" i="4" s="1"/>
  <c r="L317" i="4"/>
  <c r="O317" i="4" s="1"/>
  <c r="L332" i="4"/>
  <c r="O332" i="4" s="1"/>
  <c r="L179" i="4"/>
  <c r="O179" i="4" s="1"/>
  <c r="L171" i="4"/>
  <c r="O171" i="4" s="1"/>
  <c r="L163" i="4"/>
  <c r="O163" i="4" s="1"/>
  <c r="L155" i="4"/>
  <c r="O155" i="4" s="1"/>
  <c r="L102" i="4"/>
  <c r="O102" i="4" s="1"/>
  <c r="L84" i="4"/>
  <c r="O84" i="4" s="1"/>
  <c r="L62" i="4"/>
  <c r="O62" i="4" s="1"/>
  <c r="L44" i="4"/>
  <c r="O44" i="4" s="1"/>
  <c r="L24" i="4"/>
  <c r="O24" i="4" s="1"/>
  <c r="L106" i="4"/>
  <c r="O106" i="4" s="1"/>
  <c r="L92" i="4"/>
  <c r="O92" i="4" s="1"/>
  <c r="L80" i="4"/>
  <c r="O80" i="4" s="1"/>
  <c r="L66" i="4"/>
  <c r="O66" i="4" s="1"/>
  <c r="L50" i="4"/>
  <c r="O50" i="4" s="1"/>
  <c r="L32" i="4"/>
  <c r="O32" i="4" s="1"/>
  <c r="L95" i="4"/>
  <c r="O95" i="4" s="1"/>
  <c r="L65" i="4"/>
  <c r="O65" i="4" s="1"/>
  <c r="L19" i="4"/>
  <c r="O19" i="4" s="1"/>
  <c r="L3" i="4"/>
  <c r="O3" i="4" s="1"/>
  <c r="L147" i="4"/>
  <c r="L115" i="4"/>
  <c r="O115" i="4" s="1"/>
  <c r="L99" i="4"/>
  <c r="O99" i="4" s="1"/>
  <c r="L79" i="4"/>
  <c r="O79" i="4" s="1"/>
  <c r="L63" i="4"/>
  <c r="O63" i="4" s="1"/>
  <c r="L47" i="4"/>
  <c r="O47" i="4" s="1"/>
  <c r="L31" i="4"/>
  <c r="L151" i="4"/>
  <c r="O151" i="4" s="1"/>
  <c r="L243" i="4"/>
  <c r="O243" i="4" s="1"/>
  <c r="D10" i="5" s="1"/>
  <c r="L69" i="4"/>
  <c r="O69" i="4" s="1"/>
  <c r="L11" i="4"/>
  <c r="O11" i="4" s="1"/>
  <c r="L137" i="4"/>
  <c r="L109" i="4"/>
  <c r="L85" i="4"/>
  <c r="O85" i="4" s="1"/>
  <c r="L45" i="4"/>
  <c r="L2" i="4"/>
  <c r="O2" i="4" s="1"/>
  <c r="L12" i="4"/>
  <c r="O12" i="4" s="1"/>
  <c r="L10" i="4"/>
  <c r="O10" i="4" s="1"/>
  <c r="L282" i="4"/>
  <c r="L238" i="4"/>
  <c r="O238" i="4" s="1"/>
  <c r="L214" i="4"/>
  <c r="L190" i="4"/>
  <c r="O190" i="4" s="1"/>
  <c r="L158" i="4"/>
  <c r="O158" i="4" s="1"/>
  <c r="L191" i="4"/>
  <c r="L215" i="4"/>
  <c r="L333" i="4"/>
  <c r="O333" i="4" s="1"/>
  <c r="L326" i="4"/>
  <c r="O326" i="4" s="1"/>
  <c r="L318" i="4"/>
  <c r="O318" i="4" s="1"/>
  <c r="L310" i="4"/>
  <c r="L302" i="4"/>
  <c r="O302" i="4" s="1"/>
  <c r="L294" i="4"/>
  <c r="O294" i="4" s="1"/>
  <c r="L286" i="4"/>
  <c r="O286" i="4" s="1"/>
  <c r="D25" i="5" s="1"/>
  <c r="L278" i="4"/>
  <c r="L274" i="4"/>
  <c r="O274" i="4" s="1"/>
  <c r="L266" i="4"/>
  <c r="O266" i="4" s="1"/>
  <c r="L258" i="4"/>
  <c r="O258" i="4" s="1"/>
  <c r="L250" i="4"/>
  <c r="L242" i="4"/>
  <c r="O242" i="4" s="1"/>
  <c r="L234" i="4"/>
  <c r="O234" i="4" s="1"/>
  <c r="L226" i="4"/>
  <c r="O226" i="4" s="1"/>
  <c r="D26" i="5" s="1"/>
  <c r="L218" i="4"/>
  <c r="O218" i="4" s="1"/>
  <c r="L210" i="4"/>
  <c r="O210" i="4" s="1"/>
  <c r="L202" i="4"/>
  <c r="O202" i="4" s="1"/>
  <c r="L194" i="4"/>
  <c r="O194" i="4" s="1"/>
  <c r="D6" i="5" s="1"/>
  <c r="L261" i="4"/>
  <c r="O261" i="4" s="1"/>
  <c r="L170" i="4"/>
  <c r="O170" i="4" s="1"/>
  <c r="L162" i="4"/>
  <c r="O162" i="4" s="1"/>
  <c r="L176" i="4"/>
  <c r="O176" i="4" s="1"/>
  <c r="L133" i="4"/>
  <c r="O133" i="4" s="1"/>
  <c r="L187" i="4"/>
  <c r="O187" i="4" s="1"/>
  <c r="L195" i="4"/>
  <c r="O195" i="4" s="1"/>
  <c r="L203" i="4"/>
  <c r="O203" i="4" s="1"/>
  <c r="L211" i="4"/>
  <c r="O211" i="4" s="1"/>
  <c r="L219" i="4"/>
  <c r="O219" i="4" s="1"/>
  <c r="L227" i="4"/>
  <c r="O227" i="4" s="1"/>
  <c r="L235" i="4"/>
  <c r="O235" i="4" s="1"/>
  <c r="L118" i="4"/>
  <c r="O118" i="4" s="1"/>
  <c r="L126" i="4"/>
  <c r="O126" i="4" s="1"/>
  <c r="L134" i="4"/>
  <c r="O134" i="4" s="1"/>
  <c r="L142" i="4"/>
  <c r="O142" i="4" s="1"/>
  <c r="L150" i="4"/>
  <c r="O150" i="4" s="1"/>
  <c r="L239" i="4"/>
  <c r="O239" i="4" s="1"/>
  <c r="L241" i="4"/>
  <c r="O241" i="4" s="1"/>
  <c r="L182" i="4"/>
  <c r="L263" i="4"/>
  <c r="O263" i="4" s="1"/>
  <c r="L253" i="4"/>
  <c r="O253" i="4" s="1"/>
  <c r="L271" i="4"/>
  <c r="L291" i="4"/>
  <c r="O291" i="4" s="1"/>
  <c r="L307" i="4"/>
  <c r="O307" i="4" s="1"/>
  <c r="L334" i="4"/>
  <c r="O334" i="4" s="1"/>
  <c r="L289" i="4"/>
  <c r="O289" i="4" s="1"/>
  <c r="D27" i="5" s="1"/>
  <c r="L305" i="4"/>
  <c r="O305" i="4" s="1"/>
  <c r="L321" i="4"/>
  <c r="O321" i="4" s="1"/>
  <c r="K21" i="1"/>
  <c r="K19" i="1"/>
  <c r="K20" i="1"/>
  <c r="L112" i="4"/>
  <c r="O112" i="4" s="1"/>
  <c r="L169" i="4"/>
  <c r="O169" i="4" s="1"/>
  <c r="L161" i="4"/>
  <c r="O161" i="4" s="1"/>
  <c r="L98" i="4"/>
  <c r="O98" i="4" s="1"/>
  <c r="L78" i="4"/>
  <c r="O78" i="4" s="1"/>
  <c r="L58" i="4"/>
  <c r="O58" i="4" s="1"/>
  <c r="L42" i="4"/>
  <c r="O42" i="4" s="1"/>
  <c r="B11" i="1"/>
  <c r="L104" i="4"/>
  <c r="O104" i="4" s="1"/>
  <c r="L90" i="4"/>
  <c r="O90" i="4" s="1"/>
  <c r="L76" i="4"/>
  <c r="O76" i="4" s="1"/>
  <c r="L64" i="4"/>
  <c r="O64" i="4" s="1"/>
  <c r="L46" i="4"/>
  <c r="O46" i="4" s="1"/>
  <c r="L30" i="4"/>
  <c r="O30" i="4" s="1"/>
  <c r="L97" i="4"/>
  <c r="L57" i="4"/>
  <c r="O57" i="4" s="1"/>
  <c r="L14" i="4"/>
  <c r="O14" i="4" s="1"/>
  <c r="L139" i="4"/>
  <c r="O139" i="4" s="1"/>
  <c r="L111" i="4"/>
  <c r="O111" i="4" s="1"/>
  <c r="L91" i="4"/>
  <c r="O91" i="4" s="1"/>
  <c r="L75" i="4"/>
  <c r="O75" i="4" s="1"/>
  <c r="L59" i="4"/>
  <c r="O59" i="4" s="1"/>
  <c r="L43" i="4"/>
  <c r="O43" i="4" s="1"/>
  <c r="L27" i="4"/>
  <c r="O27" i="4" s="1"/>
  <c r="L177" i="4"/>
  <c r="O177" i="4" s="1"/>
  <c r="L119" i="4"/>
  <c r="O119" i="4" s="1"/>
  <c r="L49" i="4"/>
  <c r="O49" i="4" s="1"/>
  <c r="L173" i="4"/>
  <c r="O173" i="4" s="1"/>
  <c r="L129" i="4"/>
  <c r="O129" i="4" s="1"/>
  <c r="L105" i="4"/>
  <c r="O105" i="4" s="1"/>
  <c r="L77" i="4"/>
  <c r="O77" i="4" s="1"/>
  <c r="L29" i="4"/>
  <c r="O29" i="4" s="1"/>
  <c r="L21" i="4"/>
  <c r="O21" i="4" s="1"/>
  <c r="L19" i="1"/>
  <c r="L9" i="4"/>
  <c r="O9" i="4" s="1"/>
  <c r="L290" i="4"/>
  <c r="O290" i="4" s="1"/>
  <c r="D28" i="5" s="1"/>
  <c r="L262" i="4"/>
  <c r="O262" i="4" s="1"/>
  <c r="L331" i="4"/>
  <c r="O331" i="4" s="1"/>
  <c r="L324" i="4"/>
  <c r="L316" i="4"/>
  <c r="O316" i="4" s="1"/>
  <c r="L308" i="4"/>
  <c r="O308" i="4" s="1"/>
  <c r="L300" i="4"/>
  <c r="O300" i="4" s="1"/>
  <c r="L292" i="4"/>
  <c r="O292" i="4" s="1"/>
  <c r="L284" i="4"/>
  <c r="O284" i="4" s="1"/>
  <c r="L329" i="4"/>
  <c r="O329" i="4" s="1"/>
  <c r="D31" i="5" s="1"/>
  <c r="L272" i="4"/>
  <c r="O272" i="4" s="1"/>
  <c r="D24" i="5" s="1"/>
  <c r="L264" i="4"/>
  <c r="O264" i="4" s="1"/>
  <c r="L256" i="4"/>
  <c r="O256" i="4" s="1"/>
  <c r="L248" i="4"/>
  <c r="O248" i="4" s="1"/>
  <c r="L240" i="4"/>
  <c r="O240" i="4" s="1"/>
  <c r="L232" i="4"/>
  <c r="O232" i="4" s="1"/>
  <c r="L224" i="4"/>
  <c r="O224" i="4" s="1"/>
  <c r="L216" i="4"/>
  <c r="O216" i="4" s="1"/>
  <c r="L208" i="4"/>
  <c r="O208" i="4" s="1"/>
  <c r="L200" i="4"/>
  <c r="O200" i="4" s="1"/>
  <c r="L192" i="4"/>
  <c r="O192" i="4" s="1"/>
  <c r="L259" i="4"/>
  <c r="O259" i="4" s="1"/>
  <c r="L168" i="4"/>
  <c r="O168" i="4" s="1"/>
  <c r="L160" i="4"/>
  <c r="O160" i="4" s="1"/>
  <c r="L185" i="4"/>
  <c r="O185" i="4" s="1"/>
  <c r="L125" i="4"/>
  <c r="O125" i="4" s="1"/>
  <c r="L189" i="4"/>
  <c r="O189" i="4" s="1"/>
  <c r="L197" i="4"/>
  <c r="O197" i="4" s="1"/>
  <c r="L205" i="4"/>
  <c r="O205" i="4" s="1"/>
  <c r="L213" i="4"/>
  <c r="O213" i="4" s="1"/>
  <c r="L221" i="4"/>
  <c r="O221" i="4" s="1"/>
  <c r="L229" i="4"/>
  <c r="O229" i="4" s="1"/>
  <c r="L237" i="4"/>
  <c r="O237" i="4" s="1"/>
  <c r="L120" i="4"/>
  <c r="O120" i="4" s="1"/>
  <c r="L128" i="4"/>
  <c r="O128" i="4" s="1"/>
  <c r="L136" i="4"/>
  <c r="O136" i="4" s="1"/>
  <c r="L144" i="4"/>
  <c r="O144" i="4" s="1"/>
  <c r="L152" i="4"/>
  <c r="O152" i="4" s="1"/>
  <c r="L247" i="4"/>
  <c r="O247" i="4" s="1"/>
  <c r="D18" i="5" s="1"/>
  <c r="L249" i="4"/>
  <c r="O249" i="4" s="1"/>
  <c r="L184" i="4"/>
  <c r="O184" i="4" s="1"/>
  <c r="L267" i="4"/>
  <c r="O267" i="4" s="1"/>
  <c r="L255" i="4"/>
  <c r="O255" i="4" s="1"/>
  <c r="D22" i="5" s="1"/>
  <c r="L279" i="4"/>
  <c r="O279" i="4" s="1"/>
  <c r="L295" i="4"/>
  <c r="O295" i="4" s="1"/>
  <c r="D29" i="5" s="1"/>
  <c r="L311" i="4"/>
  <c r="O311" i="4" s="1"/>
  <c r="L277" i="4"/>
  <c r="O277" i="4" s="1"/>
  <c r="L293" i="4"/>
  <c r="O293" i="4" s="1"/>
  <c r="L309" i="4"/>
  <c r="O309" i="4" s="1"/>
  <c r="L323" i="4"/>
  <c r="E21" i="1"/>
  <c r="E20" i="1"/>
  <c r="E19" i="1"/>
  <c r="L52" i="4"/>
  <c r="O52" i="4" s="1"/>
  <c r="L167" i="4"/>
  <c r="O167" i="4" s="1"/>
  <c r="L159" i="4"/>
  <c r="O159" i="4" s="1"/>
  <c r="L94" i="4"/>
  <c r="O94" i="4" s="1"/>
  <c r="L74" i="4"/>
  <c r="O74" i="4" s="1"/>
  <c r="L54" i="4"/>
  <c r="O54" i="4" s="1"/>
  <c r="L34" i="4"/>
  <c r="O34" i="4" s="1"/>
  <c r="L110" i="4"/>
  <c r="O110" i="4" s="1"/>
  <c r="L100" i="4"/>
  <c r="O100" i="4" s="1"/>
  <c r="L86" i="4"/>
  <c r="O86" i="4" s="1"/>
  <c r="L72" i="4"/>
  <c r="O72" i="4" s="1"/>
  <c r="L60" i="4"/>
  <c r="O60" i="4" s="1"/>
  <c r="L40" i="4"/>
  <c r="O40" i="4" s="1"/>
  <c r="L26" i="4"/>
  <c r="O26" i="4" s="1"/>
  <c r="L81" i="4"/>
  <c r="O81" i="4" s="1"/>
  <c r="L41" i="4"/>
  <c r="O41" i="4" s="1"/>
  <c r="L7" i="4"/>
  <c r="O7" i="4" s="1"/>
  <c r="L131" i="4"/>
  <c r="O131" i="4" s="1"/>
  <c r="L107" i="4"/>
  <c r="O107" i="4" s="1"/>
  <c r="L87" i="4"/>
  <c r="O87" i="4" s="1"/>
  <c r="L71" i="4"/>
  <c r="O71" i="4" s="1"/>
  <c r="L55" i="4"/>
  <c r="O55" i="4" s="1"/>
  <c r="L39" i="4"/>
  <c r="O39" i="4" s="1"/>
  <c r="L127" i="4"/>
  <c r="O127" i="4" s="1"/>
  <c r="L23" i="4"/>
  <c r="O23" i="4" s="1"/>
  <c r="L22" i="4"/>
  <c r="O22" i="4" s="1"/>
  <c r="L37" i="4"/>
  <c r="O37" i="4" s="1"/>
  <c r="F20" i="1"/>
  <c r="F19" i="1"/>
  <c r="F21" i="1"/>
  <c r="L153" i="4"/>
  <c r="O153" i="4" s="1"/>
  <c r="L121" i="4"/>
  <c r="O121" i="4" s="1"/>
  <c r="L101" i="4"/>
  <c r="O101" i="4" s="1"/>
  <c r="L61" i="4"/>
  <c r="O61" i="4" s="1"/>
  <c r="L25" i="4"/>
  <c r="O25" i="4" s="1"/>
  <c r="L8" i="4"/>
  <c r="O8" i="4" s="1"/>
  <c r="L16" i="4"/>
  <c r="O16" i="4" s="1"/>
  <c r="L17" i="4"/>
  <c r="O17" i="4" s="1"/>
  <c r="D15" i="5" l="1"/>
  <c r="D9" i="5"/>
  <c r="D23" i="5"/>
  <c r="D19" i="5"/>
  <c r="D20" i="5"/>
  <c r="D30" i="5"/>
  <c r="D21" i="5"/>
  <c r="D5" i="5"/>
  <c r="D16" i="5"/>
  <c r="D12" i="5"/>
  <c r="D4" i="3"/>
  <c r="D3" i="2"/>
  <c r="D2" i="2"/>
  <c r="N323" i="4"/>
  <c r="C3" i="5" s="1"/>
  <c r="N271" i="4"/>
  <c r="N324" i="4"/>
  <c r="N270" i="4"/>
  <c r="C2" i="5" s="1"/>
  <c r="E30" i="2"/>
  <c r="E26" i="2"/>
  <c r="E23" i="2"/>
  <c r="E19" i="2"/>
  <c r="E15" i="2"/>
  <c r="E11" i="2"/>
  <c r="E8" i="2"/>
  <c r="E28" i="2"/>
  <c r="E25" i="2"/>
  <c r="E22" i="2"/>
  <c r="E20" i="2"/>
  <c r="E17" i="2"/>
  <c r="E14" i="2"/>
  <c r="E12" i="2"/>
  <c r="E9" i="2"/>
  <c r="E7" i="2"/>
  <c r="E5" i="2"/>
  <c r="E31" i="2"/>
  <c r="E29" i="2"/>
  <c r="E27" i="2"/>
  <c r="E24" i="2"/>
  <c r="E21" i="2"/>
  <c r="E18" i="2"/>
  <c r="E16" i="2"/>
  <c r="E13" i="2"/>
  <c r="E10" i="2"/>
  <c r="E6" i="2"/>
  <c r="D7" i="5"/>
  <c r="D8" i="5"/>
  <c r="D13" i="5"/>
  <c r="D11" i="5"/>
  <c r="D17" i="5"/>
  <c r="D14" i="5"/>
  <c r="D30" i="3"/>
  <c r="D28" i="3"/>
  <c r="D26" i="3"/>
  <c r="D24" i="3"/>
  <c r="D22" i="3"/>
  <c r="D20" i="3"/>
  <c r="D18" i="3"/>
  <c r="D16" i="3"/>
  <c r="D14" i="3"/>
  <c r="D12" i="3"/>
  <c r="D10" i="3"/>
  <c r="D8" i="3"/>
  <c r="D6" i="3"/>
  <c r="D31" i="3"/>
  <c r="D23" i="3"/>
  <c r="D9" i="3"/>
  <c r="D29" i="3"/>
  <c r="D27" i="3"/>
  <c r="D25" i="3"/>
  <c r="D21" i="3"/>
  <c r="D19" i="3"/>
  <c r="D17" i="3"/>
  <c r="D15" i="3"/>
  <c r="D11" i="3"/>
  <c r="D7" i="3"/>
  <c r="D13" i="3"/>
  <c r="D5" i="3"/>
  <c r="O323" i="4"/>
  <c r="D3" i="5" s="1"/>
  <c r="O324" i="4"/>
  <c r="O271" i="4"/>
  <c r="O270" i="4"/>
  <c r="D2" i="5" s="1"/>
  <c r="D3" i="3"/>
  <c r="D2" i="3"/>
  <c r="M333" i="4"/>
  <c r="M331" i="4"/>
  <c r="M330" i="4"/>
  <c r="M334" i="4"/>
  <c r="M329" i="4"/>
  <c r="M327" i="4"/>
  <c r="M325" i="4"/>
  <c r="M321" i="4"/>
  <c r="M332" i="4"/>
  <c r="M328" i="4"/>
  <c r="M326" i="4"/>
  <c r="M322" i="4"/>
  <c r="M320" i="4"/>
  <c r="M318" i="4"/>
  <c r="M316" i="4"/>
  <c r="M314" i="4"/>
  <c r="M312" i="4"/>
  <c r="M310" i="4"/>
  <c r="M308" i="4"/>
  <c r="M306" i="4"/>
  <c r="M304" i="4"/>
  <c r="M302" i="4"/>
  <c r="M300" i="4"/>
  <c r="M298" i="4"/>
  <c r="M296" i="4"/>
  <c r="M294" i="4"/>
  <c r="M292" i="4"/>
  <c r="M290" i="4"/>
  <c r="M288" i="4"/>
  <c r="M286" i="4"/>
  <c r="B25" i="5" s="1"/>
  <c r="M284" i="4"/>
  <c r="M282" i="4"/>
  <c r="M280" i="4"/>
  <c r="M278" i="4"/>
  <c r="M276" i="4"/>
  <c r="M274" i="4"/>
  <c r="M272" i="4"/>
  <c r="M268" i="4"/>
  <c r="M266" i="4"/>
  <c r="M264" i="4"/>
  <c r="M262" i="4"/>
  <c r="M317" i="4"/>
  <c r="M313" i="4"/>
  <c r="M305" i="4"/>
  <c r="M297" i="4"/>
  <c r="M289" i="4"/>
  <c r="B27" i="5" s="1"/>
  <c r="M281" i="4"/>
  <c r="M269" i="4"/>
  <c r="M259" i="4"/>
  <c r="M257" i="4"/>
  <c r="M255" i="4"/>
  <c r="M253" i="4"/>
  <c r="M311" i="4"/>
  <c r="M303" i="4"/>
  <c r="M295" i="4"/>
  <c r="B29" i="5" s="1"/>
  <c r="M287" i="4"/>
  <c r="M279" i="4"/>
  <c r="M265" i="4"/>
  <c r="M261" i="4"/>
  <c r="M260" i="4"/>
  <c r="M258" i="4"/>
  <c r="M256" i="4"/>
  <c r="M254" i="4"/>
  <c r="M252" i="4"/>
  <c r="M250" i="4"/>
  <c r="M315" i="4"/>
  <c r="M309" i="4"/>
  <c r="M301" i="4"/>
  <c r="M293" i="4"/>
  <c r="M285" i="4"/>
  <c r="M277" i="4"/>
  <c r="M273" i="4"/>
  <c r="M319" i="4"/>
  <c r="B19" i="5" s="1"/>
  <c r="M299" i="4"/>
  <c r="M248" i="4"/>
  <c r="M246" i="4"/>
  <c r="M244" i="4"/>
  <c r="M242" i="4"/>
  <c r="M240" i="4"/>
  <c r="M238" i="4"/>
  <c r="M236" i="4"/>
  <c r="M234" i="4"/>
  <c r="M232" i="4"/>
  <c r="M230" i="4"/>
  <c r="M228" i="4"/>
  <c r="M226" i="4"/>
  <c r="B26" i="5" s="1"/>
  <c r="M224" i="4"/>
  <c r="M222" i="4"/>
  <c r="M220" i="4"/>
  <c r="M218" i="4"/>
  <c r="M216" i="4"/>
  <c r="M214" i="4"/>
  <c r="M212" i="4"/>
  <c r="M210" i="4"/>
  <c r="M208" i="4"/>
  <c r="M206" i="4"/>
  <c r="M204" i="4"/>
  <c r="M202" i="4"/>
  <c r="M200" i="4"/>
  <c r="M198" i="4"/>
  <c r="M196" i="4"/>
  <c r="M194" i="4"/>
  <c r="B6" i="5" s="1"/>
  <c r="M192" i="4"/>
  <c r="M190" i="4"/>
  <c r="M188" i="4"/>
  <c r="M186" i="4"/>
  <c r="M307" i="4"/>
  <c r="M275" i="4"/>
  <c r="M263" i="4"/>
  <c r="M185" i="4"/>
  <c r="M183" i="4"/>
  <c r="M181" i="4"/>
  <c r="M179" i="4"/>
  <c r="M177" i="4"/>
  <c r="M175" i="4"/>
  <c r="M283" i="4"/>
  <c r="M267" i="4"/>
  <c r="M251" i="4"/>
  <c r="B16" i="5" s="1"/>
  <c r="M245" i="4"/>
  <c r="M237" i="4"/>
  <c r="M235" i="4"/>
  <c r="M233" i="4"/>
  <c r="M231" i="4"/>
  <c r="M229" i="4"/>
  <c r="M227" i="4"/>
  <c r="M225" i="4"/>
  <c r="M223" i="4"/>
  <c r="M221" i="4"/>
  <c r="M219" i="4"/>
  <c r="M217" i="4"/>
  <c r="B20" i="5" s="1"/>
  <c r="M215" i="4"/>
  <c r="M213" i="4"/>
  <c r="M211" i="4"/>
  <c r="M209" i="4"/>
  <c r="M207" i="4"/>
  <c r="M205" i="4"/>
  <c r="M203" i="4"/>
  <c r="M201" i="4"/>
  <c r="M199" i="4"/>
  <c r="M197" i="4"/>
  <c r="M195" i="4"/>
  <c r="M193" i="4"/>
  <c r="M191" i="4"/>
  <c r="M189" i="4"/>
  <c r="M187" i="4"/>
  <c r="M182" i="4"/>
  <c r="M291" i="4"/>
  <c r="M243" i="4"/>
  <c r="M180" i="4"/>
  <c r="M174" i="4"/>
  <c r="M172" i="4"/>
  <c r="M170" i="4"/>
  <c r="M168" i="4"/>
  <c r="M166" i="4"/>
  <c r="M164" i="4"/>
  <c r="M162" i="4"/>
  <c r="M160" i="4"/>
  <c r="M158" i="4"/>
  <c r="M156" i="4"/>
  <c r="M154" i="4"/>
  <c r="M249" i="4"/>
  <c r="M241" i="4"/>
  <c r="M178" i="4"/>
  <c r="M153" i="4"/>
  <c r="M151" i="4"/>
  <c r="M149" i="4"/>
  <c r="M147" i="4"/>
  <c r="M145" i="4"/>
  <c r="M143" i="4"/>
  <c r="M141" i="4"/>
  <c r="M139" i="4"/>
  <c r="M137" i="4"/>
  <c r="M135" i="4"/>
  <c r="M133" i="4"/>
  <c r="M131" i="4"/>
  <c r="M129" i="4"/>
  <c r="M127" i="4"/>
  <c r="M125" i="4"/>
  <c r="M123" i="4"/>
  <c r="M121" i="4"/>
  <c r="M119" i="4"/>
  <c r="M117" i="4"/>
  <c r="M115" i="4"/>
  <c r="M113" i="4"/>
  <c r="M239" i="4"/>
  <c r="M148" i="4"/>
  <c r="M140" i="4"/>
  <c r="M132" i="4"/>
  <c r="M124" i="4"/>
  <c r="M116" i="4"/>
  <c r="M21" i="4"/>
  <c r="M19" i="4"/>
  <c r="M17" i="4"/>
  <c r="M15" i="4"/>
  <c r="M13" i="4"/>
  <c r="M11" i="4"/>
  <c r="M9" i="4"/>
  <c r="M7" i="4"/>
  <c r="M5" i="4"/>
  <c r="M3" i="4"/>
  <c r="M51" i="4"/>
  <c r="M47" i="4"/>
  <c r="M41" i="4"/>
  <c r="M35" i="4"/>
  <c r="M29" i="4"/>
  <c r="M27" i="4"/>
  <c r="M20" i="4"/>
  <c r="M10" i="4"/>
  <c r="M8" i="4"/>
  <c r="M171" i="4"/>
  <c r="M169" i="4"/>
  <c r="M126" i="4"/>
  <c r="M112" i="4"/>
  <c r="M62" i="4"/>
  <c r="M52" i="4"/>
  <c r="M24" i="4"/>
  <c r="M247" i="4"/>
  <c r="B18" i="5" s="1"/>
  <c r="M146" i="4"/>
  <c r="M138" i="4"/>
  <c r="M130" i="4"/>
  <c r="M122" i="4"/>
  <c r="M114" i="4"/>
  <c r="M53" i="4"/>
  <c r="M45" i="4"/>
  <c r="M39" i="4"/>
  <c r="M33" i="4"/>
  <c r="M25" i="4"/>
  <c r="M18" i="4"/>
  <c r="M12" i="4"/>
  <c r="M6" i="4"/>
  <c r="M4" i="4"/>
  <c r="M165" i="4"/>
  <c r="M161" i="4"/>
  <c r="M159" i="4"/>
  <c r="M155" i="4"/>
  <c r="M142" i="4"/>
  <c r="M118" i="4"/>
  <c r="M106" i="4"/>
  <c r="M104" i="4"/>
  <c r="M102" i="4"/>
  <c r="M98" i="4"/>
  <c r="M90" i="4"/>
  <c r="M88" i="4"/>
  <c r="M80" i="4"/>
  <c r="M78" i="4"/>
  <c r="M76" i="4"/>
  <c r="M74" i="4"/>
  <c r="M68" i="4"/>
  <c r="M60" i="4"/>
  <c r="M58" i="4"/>
  <c r="M54" i="4"/>
  <c r="M50" i="4"/>
  <c r="M48" i="4"/>
  <c r="M46" i="4"/>
  <c r="M44" i="4"/>
  <c r="M36" i="4"/>
  <c r="M34" i="4"/>
  <c r="M30" i="4"/>
  <c r="M28" i="4"/>
  <c r="M176" i="4"/>
  <c r="M152" i="4"/>
  <c r="M144" i="4"/>
  <c r="M136" i="4"/>
  <c r="M128" i="4"/>
  <c r="M120" i="4"/>
  <c r="M111" i="4"/>
  <c r="M109" i="4"/>
  <c r="M107" i="4"/>
  <c r="M105" i="4"/>
  <c r="M103" i="4"/>
  <c r="M101" i="4"/>
  <c r="M99" i="4"/>
  <c r="M97" i="4"/>
  <c r="M95" i="4"/>
  <c r="M93" i="4"/>
  <c r="M91" i="4"/>
  <c r="M89" i="4"/>
  <c r="M87" i="4"/>
  <c r="M85" i="4"/>
  <c r="M83" i="4"/>
  <c r="M81" i="4"/>
  <c r="M79" i="4"/>
  <c r="M77" i="4"/>
  <c r="M75" i="4"/>
  <c r="M73" i="4"/>
  <c r="M71" i="4"/>
  <c r="M69" i="4"/>
  <c r="M67" i="4"/>
  <c r="M65" i="4"/>
  <c r="M63" i="4"/>
  <c r="M61" i="4"/>
  <c r="M59" i="4"/>
  <c r="M57" i="4"/>
  <c r="M55" i="4"/>
  <c r="M49" i="4"/>
  <c r="M43" i="4"/>
  <c r="M37" i="4"/>
  <c r="M31" i="4"/>
  <c r="M23" i="4"/>
  <c r="M16" i="4"/>
  <c r="M14" i="4"/>
  <c r="M2" i="4"/>
  <c r="M184" i="4"/>
  <c r="M173" i="4"/>
  <c r="M167" i="4"/>
  <c r="M163" i="4"/>
  <c r="M157" i="4"/>
  <c r="M150" i="4"/>
  <c r="M134" i="4"/>
  <c r="M110" i="4"/>
  <c r="M108" i="4"/>
  <c r="M100" i="4"/>
  <c r="M96" i="4"/>
  <c r="M94" i="4"/>
  <c r="M92" i="4"/>
  <c r="M86" i="4"/>
  <c r="M84" i="4"/>
  <c r="M82" i="4"/>
  <c r="M72" i="4"/>
  <c r="M70" i="4"/>
  <c r="M66" i="4"/>
  <c r="M64" i="4"/>
  <c r="M56" i="4"/>
  <c r="M42" i="4"/>
  <c r="M40" i="4"/>
  <c r="M38" i="4"/>
  <c r="M32" i="4"/>
  <c r="M26" i="4"/>
  <c r="M22" i="4"/>
  <c r="F3" i="2"/>
  <c r="F2" i="2"/>
  <c r="N334" i="4"/>
  <c r="N332" i="4"/>
  <c r="N329" i="4"/>
  <c r="N327" i="4"/>
  <c r="N325" i="4"/>
  <c r="N321" i="4"/>
  <c r="N319" i="4"/>
  <c r="C19" i="5" s="1"/>
  <c r="N317" i="4"/>
  <c r="N315" i="4"/>
  <c r="N313" i="4"/>
  <c r="N311" i="4"/>
  <c r="N309" i="4"/>
  <c r="N307" i="4"/>
  <c r="N305" i="4"/>
  <c r="N303" i="4"/>
  <c r="N301" i="4"/>
  <c r="N299" i="4"/>
  <c r="N297" i="4"/>
  <c r="N295" i="4"/>
  <c r="N293" i="4"/>
  <c r="N291" i="4"/>
  <c r="N289" i="4"/>
  <c r="C27" i="5" s="1"/>
  <c r="N287" i="4"/>
  <c r="N285" i="4"/>
  <c r="N283" i="4"/>
  <c r="N281" i="4"/>
  <c r="N279" i="4"/>
  <c r="N277" i="4"/>
  <c r="N275" i="4"/>
  <c r="N273" i="4"/>
  <c r="N269" i="4"/>
  <c r="N267" i="4"/>
  <c r="N265" i="4"/>
  <c r="N263" i="4"/>
  <c r="N261" i="4"/>
  <c r="N259" i="4"/>
  <c r="N257" i="4"/>
  <c r="N255" i="4"/>
  <c r="N253" i="4"/>
  <c r="N251" i="4"/>
  <c r="N331" i="4"/>
  <c r="N328" i="4"/>
  <c r="N326" i="4"/>
  <c r="N322" i="4"/>
  <c r="N320" i="4"/>
  <c r="N333" i="4"/>
  <c r="N330" i="4"/>
  <c r="N316" i="4"/>
  <c r="N312" i="4"/>
  <c r="N308" i="4"/>
  <c r="N304" i="4"/>
  <c r="N300" i="4"/>
  <c r="N296" i="4"/>
  <c r="N292" i="4"/>
  <c r="N288" i="4"/>
  <c r="N284" i="4"/>
  <c r="N280" i="4"/>
  <c r="N276" i="4"/>
  <c r="N318" i="4"/>
  <c r="N314" i="4"/>
  <c r="N310" i="4"/>
  <c r="N306" i="4"/>
  <c r="N302" i="4"/>
  <c r="N298" i="4"/>
  <c r="N294" i="4"/>
  <c r="N290" i="4"/>
  <c r="C28" i="5" s="1"/>
  <c r="N286" i="4"/>
  <c r="C25" i="5" s="1"/>
  <c r="N282" i="4"/>
  <c r="N278" i="4"/>
  <c r="N272" i="4"/>
  <c r="C24" i="5" s="1"/>
  <c r="N264" i="4"/>
  <c r="N260" i="4"/>
  <c r="N258" i="4"/>
  <c r="N256" i="4"/>
  <c r="N254" i="4"/>
  <c r="N252" i="4"/>
  <c r="N274" i="4"/>
  <c r="N268" i="4"/>
  <c r="N266" i="4"/>
  <c r="N262" i="4"/>
  <c r="N249" i="4"/>
  <c r="N247" i="4"/>
  <c r="N245" i="4"/>
  <c r="N243" i="4"/>
  <c r="N241" i="4"/>
  <c r="N239" i="4"/>
  <c r="N237" i="4"/>
  <c r="N235" i="4"/>
  <c r="N233" i="4"/>
  <c r="N231" i="4"/>
  <c r="N229" i="4"/>
  <c r="N227" i="4"/>
  <c r="N225" i="4"/>
  <c r="N223" i="4"/>
  <c r="N221" i="4"/>
  <c r="N219" i="4"/>
  <c r="N217" i="4"/>
  <c r="N215" i="4"/>
  <c r="N213" i="4"/>
  <c r="N211" i="4"/>
  <c r="N209" i="4"/>
  <c r="N207" i="4"/>
  <c r="N205" i="4"/>
  <c r="N203" i="4"/>
  <c r="N201" i="4"/>
  <c r="N199" i="4"/>
  <c r="C7" i="5" s="1"/>
  <c r="N197" i="4"/>
  <c r="N195" i="4"/>
  <c r="N193" i="4"/>
  <c r="N191" i="4"/>
  <c r="N189" i="4"/>
  <c r="N187" i="4"/>
  <c r="N250" i="4"/>
  <c r="N185" i="4"/>
  <c r="N183" i="4"/>
  <c r="N181" i="4"/>
  <c r="N179" i="4"/>
  <c r="N177" i="4"/>
  <c r="N175" i="4"/>
  <c r="N173" i="4"/>
  <c r="N171" i="4"/>
  <c r="N169" i="4"/>
  <c r="N167" i="4"/>
  <c r="N165" i="4"/>
  <c r="N163" i="4"/>
  <c r="N161" i="4"/>
  <c r="N159" i="4"/>
  <c r="N157" i="4"/>
  <c r="N155" i="4"/>
  <c r="N246" i="4"/>
  <c r="N238" i="4"/>
  <c r="N180" i="4"/>
  <c r="N174" i="4"/>
  <c r="N244" i="4"/>
  <c r="N178" i="4"/>
  <c r="N153" i="4"/>
  <c r="N151" i="4"/>
  <c r="N149" i="4"/>
  <c r="N147" i="4"/>
  <c r="N145" i="4"/>
  <c r="N143" i="4"/>
  <c r="N141" i="4"/>
  <c r="N139" i="4"/>
  <c r="N137" i="4"/>
  <c r="N135" i="4"/>
  <c r="N133" i="4"/>
  <c r="N131" i="4"/>
  <c r="N129" i="4"/>
  <c r="N127" i="4"/>
  <c r="N125" i="4"/>
  <c r="N123" i="4"/>
  <c r="N121" i="4"/>
  <c r="N119" i="4"/>
  <c r="N117" i="4"/>
  <c r="N115" i="4"/>
  <c r="N113" i="4"/>
  <c r="N111" i="4"/>
  <c r="N109" i="4"/>
  <c r="N107" i="4"/>
  <c r="N105" i="4"/>
  <c r="N103" i="4"/>
  <c r="N101" i="4"/>
  <c r="N99" i="4"/>
  <c r="N97" i="4"/>
  <c r="N95" i="4"/>
  <c r="N93" i="4"/>
  <c r="N91" i="4"/>
  <c r="N89" i="4"/>
  <c r="N87" i="4"/>
  <c r="N85" i="4"/>
  <c r="N83" i="4"/>
  <c r="N81" i="4"/>
  <c r="N79" i="4"/>
  <c r="N77" i="4"/>
  <c r="N75" i="4"/>
  <c r="N73" i="4"/>
  <c r="N71" i="4"/>
  <c r="N69" i="4"/>
  <c r="N67" i="4"/>
  <c r="N65" i="4"/>
  <c r="N63" i="4"/>
  <c r="N61" i="4"/>
  <c r="N59" i="4"/>
  <c r="N57" i="4"/>
  <c r="N55" i="4"/>
  <c r="N53" i="4"/>
  <c r="N51" i="4"/>
  <c r="N49" i="4"/>
  <c r="N47" i="4"/>
  <c r="N45" i="4"/>
  <c r="N43" i="4"/>
  <c r="N41" i="4"/>
  <c r="N39" i="4"/>
  <c r="N37" i="4"/>
  <c r="N35" i="4"/>
  <c r="N33" i="4"/>
  <c r="N31" i="4"/>
  <c r="N29" i="4"/>
  <c r="N27" i="4"/>
  <c r="N25" i="4"/>
  <c r="N23" i="4"/>
  <c r="N242" i="4"/>
  <c r="N236" i="4"/>
  <c r="N234" i="4"/>
  <c r="N232" i="4"/>
  <c r="N230" i="4"/>
  <c r="C13" i="5" s="1"/>
  <c r="N228" i="4"/>
  <c r="N226" i="4"/>
  <c r="N224" i="4"/>
  <c r="N222" i="4"/>
  <c r="C8" i="5" s="1"/>
  <c r="N220" i="4"/>
  <c r="N218" i="4"/>
  <c r="N216" i="4"/>
  <c r="N214" i="4"/>
  <c r="N212" i="4"/>
  <c r="N210" i="4"/>
  <c r="N208" i="4"/>
  <c r="N206" i="4"/>
  <c r="N204" i="4"/>
  <c r="N202" i="4"/>
  <c r="N200" i="4"/>
  <c r="N198" i="4"/>
  <c r="N196" i="4"/>
  <c r="N194" i="4"/>
  <c r="N192" i="4"/>
  <c r="N190" i="4"/>
  <c r="C9" i="5" s="1"/>
  <c r="N188" i="4"/>
  <c r="N186" i="4"/>
  <c r="N184" i="4"/>
  <c r="N176" i="4"/>
  <c r="N240" i="4"/>
  <c r="N146" i="4"/>
  <c r="N138" i="4"/>
  <c r="N130" i="4"/>
  <c r="N122" i="4"/>
  <c r="N114" i="4"/>
  <c r="N20" i="4"/>
  <c r="N18" i="4"/>
  <c r="N16" i="4"/>
  <c r="N14" i="4"/>
  <c r="N12" i="4"/>
  <c r="N10" i="4"/>
  <c r="N6" i="4"/>
  <c r="N4" i="4"/>
  <c r="N50" i="4"/>
  <c r="N46" i="4"/>
  <c r="N40" i="4"/>
  <c r="N34" i="4"/>
  <c r="N26" i="4"/>
  <c r="N248" i="4"/>
  <c r="N172" i="4"/>
  <c r="N170" i="4"/>
  <c r="N168" i="4"/>
  <c r="N166" i="4"/>
  <c r="N164" i="4"/>
  <c r="N162" i="4"/>
  <c r="N160" i="4"/>
  <c r="N158" i="4"/>
  <c r="N156" i="4"/>
  <c r="N154" i="4"/>
  <c r="N152" i="4"/>
  <c r="N144" i="4"/>
  <c r="N136" i="4"/>
  <c r="N128" i="4"/>
  <c r="N120" i="4"/>
  <c r="N8" i="4"/>
  <c r="N2" i="4"/>
  <c r="C5" i="5" s="1"/>
  <c r="N52" i="4"/>
  <c r="N44" i="4"/>
  <c r="N38" i="4"/>
  <c r="N32" i="4"/>
  <c r="N24" i="4"/>
  <c r="N140" i="4"/>
  <c r="N116" i="4"/>
  <c r="N182" i="4"/>
  <c r="N150" i="4"/>
  <c r="N142" i="4"/>
  <c r="N134" i="4"/>
  <c r="N126" i="4"/>
  <c r="N118" i="4"/>
  <c r="N112" i="4"/>
  <c r="N110" i="4"/>
  <c r="N108" i="4"/>
  <c r="N106" i="4"/>
  <c r="N104" i="4"/>
  <c r="N102" i="4"/>
  <c r="N100" i="4"/>
  <c r="N98" i="4"/>
  <c r="N96" i="4"/>
  <c r="N94" i="4"/>
  <c r="N92" i="4"/>
  <c r="N90" i="4"/>
  <c r="N88" i="4"/>
  <c r="N86" i="4"/>
  <c r="N84" i="4"/>
  <c r="N82" i="4"/>
  <c r="N80" i="4"/>
  <c r="N78" i="4"/>
  <c r="N76" i="4"/>
  <c r="N74" i="4"/>
  <c r="N72" i="4"/>
  <c r="N70" i="4"/>
  <c r="N68" i="4"/>
  <c r="N66" i="4"/>
  <c r="N64" i="4"/>
  <c r="N62" i="4"/>
  <c r="N60" i="4"/>
  <c r="N58" i="4"/>
  <c r="N56" i="4"/>
  <c r="N54" i="4"/>
  <c r="N48" i="4"/>
  <c r="N42" i="4"/>
  <c r="N36" i="4"/>
  <c r="N30" i="4"/>
  <c r="N28" i="4"/>
  <c r="N22" i="4"/>
  <c r="N148" i="4"/>
  <c r="N132" i="4"/>
  <c r="N124" i="4"/>
  <c r="N21" i="4"/>
  <c r="N17" i="4"/>
  <c r="N13" i="4"/>
  <c r="N9" i="4"/>
  <c r="N5" i="4"/>
  <c r="N19" i="4"/>
  <c r="N15" i="4"/>
  <c r="N11" i="4"/>
  <c r="N7" i="4"/>
  <c r="N3" i="4"/>
  <c r="D30" i="2"/>
  <c r="D28" i="2"/>
  <c r="D26" i="2"/>
  <c r="D24" i="2"/>
  <c r="D22" i="2"/>
  <c r="D20" i="2"/>
  <c r="D18" i="2"/>
  <c r="D16" i="2"/>
  <c r="D14" i="2"/>
  <c r="D12" i="2"/>
  <c r="D10" i="2"/>
  <c r="D8" i="2"/>
  <c r="D6" i="2"/>
  <c r="D31" i="2"/>
  <c r="D29" i="2"/>
  <c r="D27" i="2"/>
  <c r="D25" i="2"/>
  <c r="D23" i="2"/>
  <c r="D21" i="2"/>
  <c r="D19" i="2"/>
  <c r="D17" i="2"/>
  <c r="D15" i="2"/>
  <c r="D13" i="2"/>
  <c r="D11" i="2"/>
  <c r="D9" i="2"/>
  <c r="D7" i="2"/>
  <c r="D5" i="2"/>
  <c r="M323" i="4"/>
  <c r="M324" i="4"/>
  <c r="M270" i="4"/>
  <c r="B2" i="5" s="1"/>
  <c r="M271" i="4"/>
  <c r="F30" i="2"/>
  <c r="F28" i="2"/>
  <c r="F26" i="2"/>
  <c r="F24" i="2"/>
  <c r="F22" i="2"/>
  <c r="F20" i="2"/>
  <c r="F17" i="2"/>
  <c r="F15" i="2"/>
  <c r="F13" i="2"/>
  <c r="F11" i="2"/>
  <c r="F9" i="2"/>
  <c r="F8" i="2"/>
  <c r="F6" i="2"/>
  <c r="F31" i="2"/>
  <c r="F29" i="2"/>
  <c r="F27" i="2"/>
  <c r="F25" i="2"/>
  <c r="F23" i="2"/>
  <c r="F21" i="2"/>
  <c r="F19" i="2"/>
  <c r="F18" i="2"/>
  <c r="F16" i="2"/>
  <c r="F14" i="2"/>
  <c r="F12" i="2"/>
  <c r="F10" i="2"/>
  <c r="F7" i="2"/>
  <c r="F5" i="2"/>
  <c r="E3" i="2"/>
  <c r="E2" i="2"/>
  <c r="C18" i="5" l="1"/>
  <c r="C11" i="5"/>
  <c r="C22" i="5"/>
  <c r="C30" i="5"/>
  <c r="B15" i="5"/>
  <c r="B21" i="5"/>
  <c r="B23" i="5"/>
  <c r="B24" i="5"/>
  <c r="B31" i="5"/>
  <c r="I13" i="6"/>
  <c r="J13" i="6" s="1"/>
  <c r="G13" i="6"/>
  <c r="H13" i="6" s="1"/>
  <c r="I17" i="6"/>
  <c r="J17" i="6" s="1"/>
  <c r="I27" i="6"/>
  <c r="J27" i="6" s="1"/>
  <c r="E27" i="6"/>
  <c r="F27" i="6" s="1"/>
  <c r="G27" i="6"/>
  <c r="H27" i="6" s="1"/>
  <c r="I31" i="6"/>
  <c r="J31" i="6" s="1"/>
  <c r="E31" i="6"/>
  <c r="F31" i="6" s="1"/>
  <c r="I12" i="6"/>
  <c r="J12" i="6" s="1"/>
  <c r="I20" i="6"/>
  <c r="J20" i="6" s="1"/>
  <c r="E20" i="6"/>
  <c r="F20" i="6" s="1"/>
  <c r="I28" i="6"/>
  <c r="J28" i="6" s="1"/>
  <c r="G28" i="6"/>
  <c r="H28" i="6" s="1"/>
  <c r="C15" i="5"/>
  <c r="B3" i="5"/>
  <c r="C12" i="5"/>
  <c r="G12" i="6" s="1"/>
  <c r="H12" i="6" s="1"/>
  <c r="C23" i="5"/>
  <c r="C20" i="5"/>
  <c r="G20" i="6" s="1"/>
  <c r="H20" i="6" s="1"/>
  <c r="C14" i="5"/>
  <c r="B10" i="5"/>
  <c r="B9" i="5"/>
  <c r="B8" i="5"/>
  <c r="B13" i="5"/>
  <c r="E13" i="6" s="1"/>
  <c r="F13" i="6" s="1"/>
  <c r="B30" i="5"/>
  <c r="B28" i="5"/>
  <c r="E28" i="6" s="1"/>
  <c r="F28" i="6" s="1"/>
  <c r="B17" i="5"/>
  <c r="E17" i="6" s="1"/>
  <c r="F17" i="6" s="1"/>
  <c r="G2" i="6"/>
  <c r="I2" i="6"/>
  <c r="E2" i="6"/>
  <c r="G7" i="6"/>
  <c r="H7" i="6" s="1"/>
  <c r="I7" i="6"/>
  <c r="J7" i="6" s="1"/>
  <c r="I19" i="6"/>
  <c r="J19" i="6" s="1"/>
  <c r="E19" i="6"/>
  <c r="F19" i="6" s="1"/>
  <c r="G19" i="6"/>
  <c r="H19" i="6" s="1"/>
  <c r="I29" i="6"/>
  <c r="J29" i="6" s="1"/>
  <c r="E29" i="6"/>
  <c r="F29" i="6" s="1"/>
  <c r="I6" i="6"/>
  <c r="J6" i="6" s="1"/>
  <c r="E6" i="6"/>
  <c r="F6" i="6" s="1"/>
  <c r="I14" i="6"/>
  <c r="J14" i="6" s="1"/>
  <c r="G14" i="6"/>
  <c r="H14" i="6" s="1"/>
  <c r="I22" i="6"/>
  <c r="J22" i="6" s="1"/>
  <c r="G22" i="6"/>
  <c r="H22" i="6" s="1"/>
  <c r="I30" i="6"/>
  <c r="J30" i="6" s="1"/>
  <c r="E30" i="6"/>
  <c r="F30" i="6" s="1"/>
  <c r="G30" i="6"/>
  <c r="H30" i="6" s="1"/>
  <c r="C6" i="5"/>
  <c r="G6" i="6" s="1"/>
  <c r="H6" i="6" s="1"/>
  <c r="C26" i="5"/>
  <c r="C21" i="5"/>
  <c r="C10" i="5"/>
  <c r="C17" i="5"/>
  <c r="G17" i="6" s="1"/>
  <c r="H17" i="6" s="1"/>
  <c r="C16" i="5"/>
  <c r="B7" i="5"/>
  <c r="E7" i="6" s="1"/>
  <c r="F7" i="6" s="1"/>
  <c r="B12" i="5"/>
  <c r="E12" i="6" s="1"/>
  <c r="F12" i="6" s="1"/>
  <c r="B22" i="5"/>
  <c r="E22" i="6" s="1"/>
  <c r="F22" i="6" s="1"/>
  <c r="B11" i="5"/>
  <c r="B14" i="5"/>
  <c r="E14" i="6" s="1"/>
  <c r="F14" i="6" s="1"/>
  <c r="I3" i="6"/>
  <c r="J3" i="6" s="1"/>
  <c r="E3" i="6"/>
  <c r="F3" i="6" s="1"/>
  <c r="G3" i="6"/>
  <c r="H3" i="6" s="1"/>
  <c r="I11" i="6"/>
  <c r="J11" i="6" s="1"/>
  <c r="E11" i="6"/>
  <c r="F11" i="6" s="1"/>
  <c r="G11" i="6"/>
  <c r="H11" i="6" s="1"/>
  <c r="I21" i="6"/>
  <c r="J21" i="6" s="1"/>
  <c r="E21" i="6"/>
  <c r="F21" i="6" s="1"/>
  <c r="G21" i="6"/>
  <c r="H21" i="6" s="1"/>
  <c r="I9" i="6"/>
  <c r="J9" i="6" s="1"/>
  <c r="E9" i="6"/>
  <c r="F9" i="6" s="1"/>
  <c r="G9" i="6"/>
  <c r="H9" i="6" s="1"/>
  <c r="I8" i="6"/>
  <c r="J8" i="6" s="1"/>
  <c r="E8" i="6"/>
  <c r="F8" i="6" s="1"/>
  <c r="G8" i="6"/>
  <c r="H8" i="6" s="1"/>
  <c r="I16" i="6"/>
  <c r="J16" i="6" s="1"/>
  <c r="E16" i="6"/>
  <c r="F16" i="6" s="1"/>
  <c r="G16" i="6"/>
  <c r="H16" i="6" s="1"/>
  <c r="I24" i="6"/>
  <c r="J24" i="6" s="1"/>
  <c r="E24" i="6"/>
  <c r="F24" i="6" s="1"/>
  <c r="G24" i="6"/>
  <c r="H24" i="6" s="1"/>
  <c r="C29" i="5"/>
  <c r="G29" i="6" s="1"/>
  <c r="H29" i="6" s="1"/>
  <c r="C31" i="5"/>
  <c r="G31" i="6" s="1"/>
  <c r="H31" i="6" s="1"/>
  <c r="B5" i="5"/>
  <c r="E5" i="6" s="1"/>
  <c r="F5" i="6" s="1"/>
  <c r="C13" i="1" s="1"/>
  <c r="I5" i="6"/>
  <c r="J5" i="6" s="1"/>
  <c r="G5" i="6"/>
  <c r="H5" i="6" s="1"/>
  <c r="I15" i="6"/>
  <c r="J15" i="6" s="1"/>
  <c r="E15" i="6"/>
  <c r="F15" i="6" s="1"/>
  <c r="G15" i="6"/>
  <c r="H15" i="6" s="1"/>
  <c r="I25" i="6"/>
  <c r="J25" i="6" s="1"/>
  <c r="E25" i="6"/>
  <c r="F25" i="6" s="1"/>
  <c r="G25" i="6"/>
  <c r="H25" i="6" s="1"/>
  <c r="I23" i="6"/>
  <c r="J23" i="6" s="1"/>
  <c r="E23" i="6"/>
  <c r="F23" i="6" s="1"/>
  <c r="G23" i="6"/>
  <c r="H23" i="6" s="1"/>
  <c r="I10" i="6"/>
  <c r="J10" i="6" s="1"/>
  <c r="E10" i="6"/>
  <c r="F10" i="6" s="1"/>
  <c r="G10" i="6"/>
  <c r="H10" i="6" s="1"/>
  <c r="I18" i="6"/>
  <c r="J18" i="6" s="1"/>
  <c r="E18" i="6"/>
  <c r="F18" i="6" s="1"/>
  <c r="G18" i="6"/>
  <c r="H18" i="6" s="1"/>
  <c r="I26" i="6"/>
  <c r="J26" i="6" s="1"/>
  <c r="E26" i="6"/>
  <c r="F26" i="6" s="1"/>
  <c r="G26" i="6"/>
  <c r="H26" i="6" s="1"/>
  <c r="H2" i="6" l="1"/>
  <c r="D13" i="1"/>
  <c r="G13" i="1"/>
  <c r="F2" i="6"/>
  <c r="B13" i="1"/>
  <c r="B14" i="1" s="1"/>
  <c r="E13" i="1"/>
  <c r="J2" i="6"/>
  <c r="F13" i="1"/>
  <c r="F14" i="1" s="1"/>
  <c r="D14" i="1" l="1"/>
</calcChain>
</file>

<file path=xl/sharedStrings.xml><?xml version="1.0" encoding="utf-8"?>
<sst xmlns="http://schemas.openxmlformats.org/spreadsheetml/2006/main" count="1183" uniqueCount="167">
  <si>
    <t>BUDGET TOTALE</t>
  </si>
  <si>
    <t>LIVELLO 1</t>
  </si>
  <si>
    <t>LIVELLI 2-11</t>
  </si>
  <si>
    <t>2024 liv 1</t>
  </si>
  <si>
    <t>2024 liv 2-11</t>
  </si>
  <si>
    <t>2025 liv 1</t>
  </si>
  <si>
    <t>2025 liv 2-11</t>
  </si>
  <si>
    <t>2026 liv 1</t>
  </si>
  <si>
    <t>2026 liv 2-11</t>
  </si>
  <si>
    <t>NUOVI CONTRATTI</t>
  </si>
  <si>
    <t>ACCANTONAMENTO</t>
  </si>
  <si>
    <t>RESIDUO DEL 10</t>
  </si>
  <si>
    <t>BUDGET DA DISTRIBUIRE</t>
  </si>
  <si>
    <t>BUDGET DISTRIBUITO</t>
  </si>
  <si>
    <t>RESIDUO liv 1-11</t>
  </si>
  <si>
    <t>CRITERI</t>
  </si>
  <si>
    <t>%</t>
  </si>
  <si>
    <t>BUDGET liv 1</t>
  </si>
  <si>
    <t>BUDGET liv 2-11</t>
  </si>
  <si>
    <t>FATTURATO</t>
  </si>
  <si>
    <t>CAPACITA</t>
  </si>
  <si>
    <t>CAPILLARIZZAZIONE</t>
  </si>
  <si>
    <t>ENTE GIURIDICO</t>
  </si>
  <si>
    <t>FATTURATO MEDIO</t>
  </si>
  <si>
    <t>BUDGET FATTURATO 2024</t>
  </si>
  <si>
    <t>BUDGET FATTURATO 2025</t>
  </si>
  <si>
    <t>BUDGET FATTURATO 2026</t>
  </si>
  <si>
    <t>FONDAZIONE NOSTRA SIGNORA DEL RIMEDIO - ONLUS - CENTRO DI CURA E RIABILITAZIONE liv 1</t>
  </si>
  <si>
    <t>ORPEA ITALIA SPA</t>
  </si>
  <si>
    <t>ASSOCIAZIONE ITALIANA ASSISTENZA SPASTICI SEZ. CAGLIARI</t>
  </si>
  <si>
    <t>C.R.M. S.R.L.</t>
  </si>
  <si>
    <t>C.R.N. CENTRO RIABILITAZIONE NEUROPATICI S.R.L.</t>
  </si>
  <si>
    <t>CENTRO DI FISIOKINESITERAPIA E RIABILITAZIONE SACRO CUORE DI</t>
  </si>
  <si>
    <t>CENTRO DI MEDICINA FISICA E RIABILITATIVA S.R.L.</t>
  </si>
  <si>
    <t>CENTRO DI RIABILITAZ. NEURO PSICO MOTORIA-RNM SRL</t>
  </si>
  <si>
    <t>CENTRO DI RIABILITAZIONE LOGOS, GESTI E PAROLE SRL</t>
  </si>
  <si>
    <t>CENTRO F.K.T. DR. SALVATORE MELE SRL</t>
  </si>
  <si>
    <t>CENTRO FISIOTERAPICO SB SRL</t>
  </si>
  <si>
    <t>CENTRO FISIOTERAPICO TUVIXEDDU SRL</t>
  </si>
  <si>
    <t>CENTRO MEDICO DI RIABILITAZIONE E FKT DEL DOTTOR MAURO PIRIA S.A.S.</t>
  </si>
  <si>
    <t>CENTRO MEDICO SPECIALISTICO RIABILITATIVO</t>
  </si>
  <si>
    <t>CENTRO RIABILITATIVO SANTA LUCIA S.R.L.</t>
  </si>
  <si>
    <t>CENTRO SAN BIAGIO SRL</t>
  </si>
  <si>
    <t>CENTRO SOCIO SANITARIO PARACELSO SRL</t>
  </si>
  <si>
    <t>CONSALUS</t>
  </si>
  <si>
    <t>COOPERATIVA SOCIALE CTR - COMUNICAZIONE TERRITORIO RELAZIONI - ONLUS</t>
  </si>
  <si>
    <t>CTR ESPERENZE ONLUS COOP. SOC. P.A.</t>
  </si>
  <si>
    <t>FONDAZIONE ANFFAS ONLUS CAGLIARI</t>
  </si>
  <si>
    <t>FONDAZIONE NOSTRA SIGNORA DEL RIMEDIO - ONLUS - CENTRO DI CURA E RIABILITAZIONE liv 2-11</t>
  </si>
  <si>
    <t xml:space="preserve">ISTITUTO MEDICO PEDAGOGICO OPERA GESU' NAZARENO </t>
  </si>
  <si>
    <t>NUOVO CENTRO FISIOTERAPICO SRL</t>
  </si>
  <si>
    <t>SMERALDA RSA DI PADRU S.R.L.</t>
  </si>
  <si>
    <t>STUDIO F.K.T. DOTT. S. MELE S.R.L.</t>
  </si>
  <si>
    <t>TAMPONI F.K.T. GALLURA S.R.L.</t>
  </si>
  <si>
    <t>TAMPONI F.K.T. TURRITANA S.R.L.</t>
  </si>
  <si>
    <t>VILLA SAN GIUSEPPE S.R.L.</t>
  </si>
  <si>
    <t>CAPACITA’</t>
  </si>
  <si>
    <t>BUDGET CAPACITA’ 2024/25/26</t>
  </si>
  <si>
    <t>CHIAVE</t>
  </si>
  <si>
    <t>ASL</t>
  </si>
  <si>
    <t>STRUTTURA</t>
  </si>
  <si>
    <t>LIVELLO</t>
  </si>
  <si>
    <t>INDICE ABITANTI</t>
  </si>
  <si>
    <t>STRUTTURE STESSO LIVELLO NELL'ASL</t>
  </si>
  <si>
    <t>STRUTTURE STESSO LIVELLO SARDEGNA</t>
  </si>
  <si>
    <t>INDICE PRESENZA</t>
  </si>
  <si>
    <t>MEDIA INDICI</t>
  </si>
  <si>
    <t>% INDICI</t>
  </si>
  <si>
    <t>BUDGET CAPILLARIZZAZIONE 2024</t>
  </si>
  <si>
    <t>BUDGET CAPILLARIZZAZIONE 2025</t>
  </si>
  <si>
    <t>BUDGET CAPILLARIZZAZIONE 2026</t>
  </si>
  <si>
    <t>Oristano</t>
  </si>
  <si>
    <t>AIAS-Ales</t>
  </si>
  <si>
    <t>Nuoro</t>
  </si>
  <si>
    <t>AIAS-Aritzo</t>
  </si>
  <si>
    <t>Ogliastra</t>
  </si>
  <si>
    <t>AIAS-Arzana</t>
  </si>
  <si>
    <t>Cagliari</t>
  </si>
  <si>
    <t>AIAS-Assemini</t>
  </si>
  <si>
    <t>Gallura</t>
  </si>
  <si>
    <t>AIAS-Berchidda</t>
  </si>
  <si>
    <t>Sassari</t>
  </si>
  <si>
    <t>AIAS-Bono</t>
  </si>
  <si>
    <t>AIAS-Buddusò</t>
  </si>
  <si>
    <t>AIAS-Cagliari</t>
  </si>
  <si>
    <t>AIAS-Capoterra</t>
  </si>
  <si>
    <t>Sulcis</t>
  </si>
  <si>
    <t>AIAS-Carloforte</t>
  </si>
  <si>
    <t>AIAS-Cortoghiana</t>
  </si>
  <si>
    <t>AIAS-Decimomannu</t>
  </si>
  <si>
    <t>AIAS-Domusnovas</t>
  </si>
  <si>
    <t>AIAS-Iglesias</t>
  </si>
  <si>
    <t>AIAS-Lanusei</t>
  </si>
  <si>
    <t>AIAS-Lotzorai</t>
  </si>
  <si>
    <t>AIAS-Mandas</t>
  </si>
  <si>
    <t>AIAS-Monastir</t>
  </si>
  <si>
    <t>AIAS-Oliena</t>
  </si>
  <si>
    <t>AIAS-Orosei</t>
  </si>
  <si>
    <t>AIAS-Perdasdefogu</t>
  </si>
  <si>
    <t>AIAS-Pula</t>
  </si>
  <si>
    <t>AIAS-Quartu Sant'Elena</t>
  </si>
  <si>
    <t>AIAS-San Vito</t>
  </si>
  <si>
    <t>Medio campidano</t>
  </si>
  <si>
    <t>AIAS-Sanluri</t>
  </si>
  <si>
    <t>AIAS-Sant'Antioco</t>
  </si>
  <si>
    <t>AIAS-Sassari</t>
  </si>
  <si>
    <t>AIAS-Sestu</t>
  </si>
  <si>
    <t>AIAS-Siniscola</t>
  </si>
  <si>
    <t>AIAS-Tempio Pausania</t>
  </si>
  <si>
    <t>AIAS-Uta</t>
  </si>
  <si>
    <t>AIAS-Villacidro</t>
  </si>
  <si>
    <t>AIAS-Villarios</t>
  </si>
  <si>
    <t>FOND. ANFFAS CENTRO V.LE COLOMBO CAGLIARI</t>
  </si>
  <si>
    <t>FOND. ANFFAS IGLESIAS</t>
  </si>
  <si>
    <t>FOND. ANFFAS VIA MANNO 17 SELARGIUS</t>
  </si>
  <si>
    <t>FOND. ANFFAS VIA MATTEOTTI 1 SETTIMO SAN PIETRO</t>
  </si>
  <si>
    <t>FOND. ANFFAS VIA PRAGA SELARGIUS</t>
  </si>
  <si>
    <t>C.M.F. CENTRO DI MEDICINA FISICA E RIABILITATIVA SRL - Quartu S.E.</t>
  </si>
  <si>
    <t>C.M.F. CENTRO DI MEDICINA FISICA E RIABILITATIVA SRL - Assemini</t>
  </si>
  <si>
    <t>C.R.M. srl Centro Riabilitazione Disabili</t>
  </si>
  <si>
    <t>C.R.N. CENTRO RIABILITAZIONE NEUROPATICI</t>
  </si>
  <si>
    <t>CTR Onlus Cagliari</t>
  </si>
  <si>
    <t>CTR Onlus CARBONIA</t>
  </si>
  <si>
    <t>CTR Onlus Villacidro</t>
  </si>
  <si>
    <t xml:space="preserve">Consalus </t>
  </si>
  <si>
    <t>CENTRO “SACRO CUORE” SRL</t>
  </si>
  <si>
    <t>NUOVO CENTRO FISIOTERAPICO s.r.l.</t>
  </si>
  <si>
    <t>CENTRO FISIOTERAPICO S.B. SRL Comune di Suni</t>
  </si>
  <si>
    <t>CENTRO FKT Mele La Maddalena</t>
  </si>
  <si>
    <t>CENTRO FKT Mele Budoni</t>
  </si>
  <si>
    <t>CENTRO FKT Mele Centro Diurno Olbia</t>
  </si>
  <si>
    <t>CENTRO MEDICO RI.ME.T. S.R.L. - CENTRO DI RIABILITAZIONE MEDICA TERRALBA</t>
  </si>
  <si>
    <t>Centro RNM – Riabilitazione Neuro-psico Motoria</t>
  </si>
  <si>
    <t>Centro San Biagio Srl</t>
  </si>
  <si>
    <t>CMSR SRL</t>
  </si>
  <si>
    <t>CTR Esperienze Onlus - ALGHERO</t>
  </si>
  <si>
    <t>CTR Esperienze Onlus - ORISTANO</t>
  </si>
  <si>
    <t>CTR Esperienze Onlus - SANLURI</t>
  </si>
  <si>
    <t>Fond. Nostra Signora del Rimedio – Centro S.Maria Bambina</t>
  </si>
  <si>
    <t>LOGOS ISILI</t>
  </si>
  <si>
    <t>LOGOS MONSERRATO</t>
  </si>
  <si>
    <t>LOGOS SESTU</t>
  </si>
  <si>
    <t>OPERA GESU' NAZARENO</t>
  </si>
  <si>
    <t>Smeralda Padru Centro di Riabilitazione</t>
  </si>
  <si>
    <t>Studio FKT Mele Olbia</t>
  </si>
  <si>
    <t>TAMPONI FKT Gallura Olbia</t>
  </si>
  <si>
    <t>TAMPONI FKT Gallura Arzachena</t>
  </si>
  <si>
    <t>Tamponi FKT Turritana – sede di Ozieri</t>
  </si>
  <si>
    <t>Tamponi FKT Turritana – sede di Porto Torres</t>
  </si>
  <si>
    <t>Centro Riabilitativo Santa Lucia srl</t>
  </si>
  <si>
    <t>PARACELSO Assemini</t>
  </si>
  <si>
    <t xml:space="preserve">PARACELSO - Dolianova </t>
  </si>
  <si>
    <t xml:space="preserve">PARACELSO - Quartu Sant'Elena </t>
  </si>
  <si>
    <t>Clinica Arborea RIAB CARD</t>
  </si>
  <si>
    <t>Clinica Arborea RIAB -FUNZ</t>
  </si>
  <si>
    <t>Centro Tuvixeddu</t>
  </si>
  <si>
    <t>Centro Terranoa - VILLA SAN GIUSEPPE SRL</t>
  </si>
  <si>
    <t>C.M.F. - Capoterra, via Monteverdi</t>
  </si>
  <si>
    <t>CENTRO FISIOTERAPICO S.B. SRL  Selargius Via E. Lussu n. 92</t>
  </si>
  <si>
    <t>BUDGET 2024 calc</t>
  </si>
  <si>
    <t>BUDGET 2024</t>
  </si>
  <si>
    <t>BUDGET 2025 calc</t>
  </si>
  <si>
    <t>BUDGET 2025</t>
  </si>
  <si>
    <t>BUDGET 2026 calc</t>
  </si>
  <si>
    <t>BUDGET 2026</t>
  </si>
  <si>
    <t>* ricalcolato a seguito della cessione delle due strutture (Capoterra e Sanluri)</t>
  </si>
  <si>
    <t>* ricalcolato a seguito dell’acquisto delle due strutture AIAS (Capoterra e Sanluri)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</si>
</sst>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 €&quot;_-;\-* #,##0.00&quot; €&quot;_-;_-* \-??&quot; €&quot;_-;_-@_-"/>
    <numFmt numFmtId="165" formatCode="_-* #,##0.00_-;\-* #,##0.00_-;_-* \-??_-;_-@_-"/>
    <numFmt numFmtId="166" formatCode="0.0%"/>
    <numFmt numFmtId="167" formatCode="_-* #,##0.00\ _€_-;\-* #,##0.00\ _€_-;_-* \-??\ _€_-;_-@_-"/>
    <numFmt numFmtId="168" formatCode="_-* #,##0_-;\-* #,##0_-;_-* \-??_-;_-@_-"/>
  </numFmts>
  <fonts count="7" x14ac:knownFonts="1"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2"/>
      <name val="Arial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5429"/>
        <bgColor rgb="FFFF8080"/>
      </patternFill>
    </fill>
    <fill>
      <patternFill patternType="solid">
        <fgColor rgb="FFFFC400"/>
        <bgColor rgb="FFFF9900"/>
      </patternFill>
    </fill>
    <fill>
      <patternFill patternType="solid">
        <fgColor theme="6" tint="0.79989013336588644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165" fontId="6" fillId="0" borderId="0" applyBorder="0" applyProtection="0"/>
    <xf numFmtId="9" fontId="6" fillId="0" borderId="0" applyBorder="0" applyProtection="0"/>
    <xf numFmtId="0" fontId="1" fillId="0" borderId="0" applyBorder="0" applyProtection="0">
      <alignment horizontal="left"/>
    </xf>
    <xf numFmtId="0" fontId="2" fillId="0" borderId="0"/>
    <xf numFmtId="0" fontId="6" fillId="2" borderId="0" applyProtection="0"/>
    <xf numFmtId="0" fontId="6" fillId="3" borderId="0" applyBorder="0" applyProtection="0"/>
    <xf numFmtId="164" fontId="6" fillId="0" borderId="0" applyBorder="0" applyProtection="0"/>
  </cellStyleXfs>
  <cellXfs count="32">
    <xf numFmtId="0" fontId="0" fillId="0" borderId="0" xfId="0"/>
    <xf numFmtId="9" fontId="0" fillId="0" borderId="1" xfId="2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165" fontId="0" fillId="0" borderId="1" xfId="1" applyFont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Font="1" applyAlignment="1" applyProtection="1"/>
    <xf numFmtId="0" fontId="3" fillId="0" borderId="1" xfId="0" applyFont="1" applyBorder="1" applyAlignment="1" applyProtection="1"/>
    <xf numFmtId="165" fontId="0" fillId="0" borderId="1" xfId="1" applyFont="1" applyBorder="1" applyAlignment="1" applyProtection="1"/>
    <xf numFmtId="4" fontId="0" fillId="0" borderId="0" xfId="0" applyNumberFormat="1" applyAlignment="1" applyProtection="1"/>
    <xf numFmtId="9" fontId="3" fillId="0" borderId="1" xfId="0" applyNumberFormat="1" applyFont="1" applyBorder="1" applyAlignment="1" applyProtection="1"/>
    <xf numFmtId="4" fontId="0" fillId="0" borderId="1" xfId="0" applyNumberFormat="1" applyBorder="1" applyAlignment="1" applyProtection="1"/>
    <xf numFmtId="9" fontId="3" fillId="0" borderId="1" xfId="2" applyFont="1" applyBorder="1" applyAlignment="1" applyProtection="1"/>
    <xf numFmtId="0" fontId="0" fillId="0" borderId="1" xfId="0" applyBorder="1" applyAlignment="1" applyProtection="1"/>
    <xf numFmtId="0" fontId="3" fillId="0" borderId="1" xfId="0" applyFont="1" applyBorder="1" applyAlignment="1" applyProtection="1">
      <alignment horizontal="center" vertical="center"/>
    </xf>
    <xf numFmtId="4" fontId="0" fillId="0" borderId="1" xfId="2" applyNumberFormat="1" applyFont="1" applyBorder="1" applyAlignment="1" applyProtection="1"/>
    <xf numFmtId="165" fontId="0" fillId="0" borderId="1" xfId="1" applyFont="1" applyBorder="1" applyAlignment="1" applyProtection="1">
      <alignment vertical="center"/>
    </xf>
    <xf numFmtId="166" fontId="0" fillId="0" borderId="1" xfId="2" applyNumberFormat="1" applyFont="1" applyBorder="1" applyAlignment="1" applyProtection="1"/>
    <xf numFmtId="167" fontId="0" fillId="0" borderId="1" xfId="0" applyNumberFormat="1" applyBorder="1" applyAlignment="1" applyProtection="1"/>
    <xf numFmtId="0" fontId="4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165" fontId="5" fillId="0" borderId="1" xfId="1" applyFont="1" applyBorder="1" applyAlignment="1" applyProtection="1">
      <alignment horizontal="center" vertical="center" wrapText="1"/>
    </xf>
    <xf numFmtId="10" fontId="5" fillId="0" borderId="1" xfId="2" applyNumberFormat="1" applyFont="1" applyBorder="1" applyAlignment="1" applyProtection="1">
      <alignment horizontal="center" vertical="center" wrapText="1"/>
    </xf>
    <xf numFmtId="167" fontId="0" fillId="0" borderId="0" xfId="0" applyNumberFormat="1" applyAlignment="1" applyProtection="1"/>
    <xf numFmtId="0" fontId="1" fillId="0" borderId="1" xfId="0" applyFont="1" applyBorder="1" applyAlignment="1" applyProtection="1">
      <protection locked="0"/>
    </xf>
    <xf numFmtId="0" fontId="4" fillId="4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5" fontId="0" fillId="0" borderId="0" xfId="1" applyFont="1" applyBorder="1" applyAlignment="1" applyProtection="1"/>
    <xf numFmtId="168" fontId="0" fillId="0" borderId="1" xfId="1" applyNumberFormat="1" applyFont="1" applyBorder="1" applyAlignment="1" applyProtection="1"/>
    <xf numFmtId="10" fontId="0" fillId="0" borderId="1" xfId="2" applyNumberFormat="1" applyFont="1" applyBorder="1" applyAlignment="1" applyProtection="1"/>
    <xf numFmtId="4" fontId="0" fillId="0" borderId="1" xfId="1" applyNumberFormat="1" applyFont="1" applyBorder="1" applyAlignment="1" applyProtection="1"/>
    <xf numFmtId="165" fontId="5" fillId="0" borderId="1" xfId="1" applyFont="1" applyBorder="1" applyAlignment="1" applyProtection="1">
      <alignment horizontal="center" vertical="center" wrapText="1"/>
    </xf>
  </cellXfs>
  <cellStyles count="8">
    <cellStyle name="Categoria tabella pivot" xfId="3"/>
    <cellStyle name="Migliaia" xfId="1" builtinId="3"/>
    <cellStyle name="Normale" xfId="0" builtinId="0"/>
    <cellStyle name="Normale 2" xfId="4"/>
    <cellStyle name="Percentuale" xfId="2" builtinId="5"/>
    <cellStyle name="Senza nome1" xfId="5"/>
    <cellStyle name="Senza nome2" xfId="6"/>
    <cellStyle name="Valuta 2" xfId="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ED4BB"/>
      <rgbColor rgb="FF3366FF"/>
      <rgbColor rgb="FF33CCCC"/>
      <rgbColor rgb="FF99CC00"/>
      <rgbColor rgb="FFFFC400"/>
      <rgbColor rgb="FFFF9900"/>
      <rgbColor rgb="FFFF542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2"/>
  <sheetViews>
    <sheetView zoomScale="90" zoomScaleNormal="90" workbookViewId="0">
      <selection activeCell="G15" sqref="G15"/>
    </sheetView>
  </sheetViews>
  <sheetFormatPr defaultColWidth="8.59765625" defaultRowHeight="15.6" x14ac:dyDescent="0.3"/>
  <cols>
    <col min="1" max="1" width="23.3984375" style="5" customWidth="1"/>
    <col min="2" max="2" width="14.19921875" style="5" customWidth="1"/>
    <col min="3" max="3" width="14.09765625" style="5" customWidth="1"/>
    <col min="4" max="4" width="19.19921875" style="5" customWidth="1"/>
    <col min="5" max="5" width="15.59765625" style="5" customWidth="1"/>
    <col min="6" max="6" width="15" style="5" customWidth="1"/>
    <col min="7" max="7" width="13.69921875" style="5" customWidth="1"/>
    <col min="8" max="8" width="16.3984375" style="5" customWidth="1"/>
    <col min="9" max="9" width="14.59765625" style="5" customWidth="1"/>
    <col min="10" max="10" width="14.5" style="5" customWidth="1"/>
    <col min="11" max="11" width="14.59765625" style="6" customWidth="1"/>
    <col min="12" max="12" width="15.09765625" style="6" customWidth="1"/>
    <col min="13" max="16383" width="8.59765625" style="6"/>
    <col min="16384" max="16384" width="10.5" style="5" customWidth="1"/>
  </cols>
  <sheetData>
    <row r="1" spans="1:9" x14ac:dyDescent="0.3">
      <c r="A1" s="7" t="s">
        <v>0</v>
      </c>
      <c r="B1" s="8">
        <v>63088953.829999998</v>
      </c>
    </row>
    <row r="2" spans="1:9" x14ac:dyDescent="0.3">
      <c r="A2" s="7"/>
      <c r="B2" s="8"/>
      <c r="D2" s="9"/>
    </row>
    <row r="3" spans="1:9" x14ac:dyDescent="0.3">
      <c r="A3" s="7"/>
      <c r="B3" s="10" t="s">
        <v>1</v>
      </c>
      <c r="C3" s="10" t="s">
        <v>2</v>
      </c>
      <c r="D3" s="9"/>
    </row>
    <row r="4" spans="1:9" x14ac:dyDescent="0.3">
      <c r="A4" s="7"/>
      <c r="B4" s="11">
        <v>8105407.2300000004</v>
      </c>
      <c r="C4" s="11">
        <f>B1-B4</f>
        <v>54983546.599999994</v>
      </c>
      <c r="D4" s="9"/>
    </row>
    <row r="5" spans="1:9" x14ac:dyDescent="0.3">
      <c r="A5" s="10">
        <v>0.9</v>
      </c>
      <c r="B5" s="8">
        <f>B$4*A5</f>
        <v>7294866.5070000002</v>
      </c>
      <c r="C5" s="8">
        <f>C$4*A5</f>
        <v>49485191.939999998</v>
      </c>
    </row>
    <row r="6" spans="1:9" x14ac:dyDescent="0.3">
      <c r="A6" s="12">
        <v>0.1</v>
      </c>
      <c r="B6" s="8">
        <f>B$4*A6</f>
        <v>810540.72300000011</v>
      </c>
      <c r="C6" s="8">
        <f>C$4*A6</f>
        <v>5498354.6600000001</v>
      </c>
    </row>
    <row r="7" spans="1:9" x14ac:dyDescent="0.3">
      <c r="A7" s="12"/>
      <c r="B7" s="8"/>
    </row>
    <row r="8" spans="1:9" x14ac:dyDescent="0.3">
      <c r="A8" s="13"/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</row>
    <row r="9" spans="1:9" x14ac:dyDescent="0.3">
      <c r="A9" s="7" t="s">
        <v>9</v>
      </c>
      <c r="B9" s="8">
        <v>0</v>
      </c>
      <c r="C9" s="15">
        <v>593624.1925</v>
      </c>
      <c r="D9" s="8">
        <v>0</v>
      </c>
      <c r="E9" s="11">
        <v>1662147.7390000001</v>
      </c>
      <c r="F9" s="8">
        <v>0</v>
      </c>
      <c r="G9" s="11">
        <v>1899597.416</v>
      </c>
    </row>
    <row r="10" spans="1:9" x14ac:dyDescent="0.3">
      <c r="A10" s="7" t="s">
        <v>10</v>
      </c>
      <c r="B10" s="8">
        <f>B6</f>
        <v>810540.72300000011</v>
      </c>
      <c r="C10" s="8">
        <f>$C$6*0.4-C9-I10</f>
        <v>1605717.6715000002</v>
      </c>
      <c r="D10" s="8">
        <f>B6</f>
        <v>810540.72300000011</v>
      </c>
      <c r="E10" s="8">
        <f>$C$6*0.4-E9-I10</f>
        <v>537194.125</v>
      </c>
      <c r="F10" s="8">
        <f>B6</f>
        <v>810540.72300000011</v>
      </c>
      <c r="G10" s="8">
        <f>$C$6*0.4-G9-I10</f>
        <v>299744.44800000009</v>
      </c>
      <c r="I10" s="9"/>
    </row>
    <row r="11" spans="1:9" x14ac:dyDescent="0.3">
      <c r="A11" s="7" t="s">
        <v>11</v>
      </c>
      <c r="B11" s="8">
        <f>$B$6-B9-B10</f>
        <v>0</v>
      </c>
      <c r="C11" s="8">
        <f>$C$6*0.6</f>
        <v>3299012.7960000001</v>
      </c>
      <c r="D11" s="8">
        <f>$B$6-D9-D10</f>
        <v>0</v>
      </c>
      <c r="E11" s="8">
        <f>$C$6*0.6</f>
        <v>3299012.7960000001</v>
      </c>
      <c r="F11" s="8">
        <f>$B$6-F9-F10</f>
        <v>0</v>
      </c>
      <c r="G11" s="8">
        <f>$C$6*0.6</f>
        <v>3299012.7960000001</v>
      </c>
      <c r="I11" s="9"/>
    </row>
    <row r="12" spans="1:9" x14ac:dyDescent="0.3">
      <c r="A12" s="7" t="s">
        <v>12</v>
      </c>
      <c r="B12" s="8">
        <f>$B$4-B9-B10</f>
        <v>7294866.5070000002</v>
      </c>
      <c r="C12" s="8">
        <f>$C$4-C9-C10</f>
        <v>52784204.735999994</v>
      </c>
      <c r="D12" s="8">
        <f>$B$4-D9-D10</f>
        <v>7294866.5070000002</v>
      </c>
      <c r="E12" s="8">
        <f>$C$4-E9-E10</f>
        <v>52784204.735999994</v>
      </c>
      <c r="F12" s="8">
        <f>$B$4-F9-F10</f>
        <v>7294866.5070000002</v>
      </c>
      <c r="G12" s="8">
        <f>$C$4-G9-G10</f>
        <v>52784204.735999994</v>
      </c>
    </row>
    <row r="13" spans="1:9" x14ac:dyDescent="0.3">
      <c r="A13" s="7" t="s">
        <v>13</v>
      </c>
      <c r="B13" s="16">
        <f>SUM('04 - TOTALE'!E2:E3)</f>
        <v>7294866.5070000011</v>
      </c>
      <c r="C13" s="16">
        <f>SUM('04 - TOTALE'!F5:F31)</f>
        <v>52663283.459070414</v>
      </c>
      <c r="D13" s="16">
        <f>SUM('04 - TOTALE'!G2:G3)</f>
        <v>7294866.5070000002</v>
      </c>
      <c r="E13" s="16">
        <f>SUM('04 - TOTALE'!H5:H31)</f>
        <v>52749578.076734349</v>
      </c>
      <c r="F13" s="16">
        <f>SUM('04 - TOTALE'!I2:I3)</f>
        <v>7294866.5070000011</v>
      </c>
      <c r="G13" s="16">
        <f>SUM('04 - TOTALE'!J5:J31)</f>
        <v>52899856.642196491</v>
      </c>
    </row>
    <row r="14" spans="1:9" x14ac:dyDescent="0.3">
      <c r="A14" s="7" t="s">
        <v>14</v>
      </c>
      <c r="B14" s="4">
        <f>B12-B13+B10+C12-C13+C10</f>
        <v>2537179.6714295773</v>
      </c>
      <c r="C14" s="4"/>
      <c r="D14" s="4">
        <f>D12-D13+D10+E12-E13+E10</f>
        <v>1382361.5072656423</v>
      </c>
      <c r="E14" s="4"/>
      <c r="F14" s="4">
        <f>F12-F13+F10+G12-G13+G10</f>
        <v>994633.26480350015</v>
      </c>
      <c r="G14" s="4"/>
    </row>
    <row r="17" spans="1:12" x14ac:dyDescent="0.3">
      <c r="D17" s="3">
        <v>2024</v>
      </c>
      <c r="E17" s="3"/>
      <c r="F17" s="3"/>
      <c r="G17" s="3">
        <v>2025</v>
      </c>
      <c r="H17" s="3"/>
      <c r="I17" s="3"/>
      <c r="J17" s="3">
        <v>2026</v>
      </c>
      <c r="K17" s="3"/>
      <c r="L17" s="3"/>
    </row>
    <row r="18" spans="1:12" x14ac:dyDescent="0.3">
      <c r="A18" s="2" t="s">
        <v>15</v>
      </c>
      <c r="B18" s="2"/>
      <c r="D18" s="7" t="s">
        <v>16</v>
      </c>
      <c r="E18" s="7" t="s">
        <v>17</v>
      </c>
      <c r="F18" s="7" t="s">
        <v>18</v>
      </c>
      <c r="G18" s="7" t="s">
        <v>16</v>
      </c>
      <c r="H18" s="7" t="s">
        <v>17</v>
      </c>
      <c r="I18" s="7" t="s">
        <v>18</v>
      </c>
      <c r="J18" s="7" t="s">
        <v>16</v>
      </c>
      <c r="K18" s="7" t="s">
        <v>17</v>
      </c>
      <c r="L18" s="7" t="s">
        <v>18</v>
      </c>
    </row>
    <row r="19" spans="1:12" x14ac:dyDescent="0.3">
      <c r="A19" s="1" t="s">
        <v>19</v>
      </c>
      <c r="B19" s="1"/>
      <c r="D19" s="17">
        <v>0.75</v>
      </c>
      <c r="E19" s="18">
        <f>B$12*D19</f>
        <v>5471149.8802500004</v>
      </c>
      <c r="F19" s="18">
        <f>C$12*D19</f>
        <v>39588153.551999994</v>
      </c>
      <c r="G19" s="17">
        <f>D19-0.025</f>
        <v>0.72499999999999998</v>
      </c>
      <c r="H19" s="18">
        <f>D$12*G19</f>
        <v>5288778.2175749997</v>
      </c>
      <c r="I19" s="18">
        <f>E$12*G19</f>
        <v>38268548.433599994</v>
      </c>
      <c r="J19" s="17">
        <f>G19-0.025</f>
        <v>0.7</v>
      </c>
      <c r="K19" s="18">
        <f>F$12*J19</f>
        <v>5106406.5548999999</v>
      </c>
      <c r="L19" s="18">
        <f>G$12*J19</f>
        <v>36948943.315199994</v>
      </c>
    </row>
    <row r="20" spans="1:12" x14ac:dyDescent="0.3">
      <c r="A20" s="1" t="s">
        <v>20</v>
      </c>
      <c r="B20" s="1"/>
      <c r="D20" s="17">
        <v>0.2</v>
      </c>
      <c r="E20" s="18">
        <f>B$12*D20</f>
        <v>1458973.3014000002</v>
      </c>
      <c r="F20" s="18">
        <f>C$12*D20</f>
        <v>10556840.9472</v>
      </c>
      <c r="G20" s="17">
        <f>D20</f>
        <v>0.2</v>
      </c>
      <c r="H20" s="18">
        <f>D$12*G20</f>
        <v>1458973.3014000002</v>
      </c>
      <c r="I20" s="18">
        <f>E$12*G20</f>
        <v>10556840.9472</v>
      </c>
      <c r="J20" s="17">
        <f>D20</f>
        <v>0.2</v>
      </c>
      <c r="K20" s="18">
        <f>F$12*J20</f>
        <v>1458973.3014000002</v>
      </c>
      <c r="L20" s="18">
        <f>G$12*J20</f>
        <v>10556840.9472</v>
      </c>
    </row>
    <row r="21" spans="1:12" x14ac:dyDescent="0.3">
      <c r="A21" s="1" t="s">
        <v>21</v>
      </c>
      <c r="B21" s="1"/>
      <c r="D21" s="17">
        <f>1-D19-D20</f>
        <v>4.9999999999999989E-2</v>
      </c>
      <c r="E21" s="18">
        <f>B$12*D21</f>
        <v>364743.32534999994</v>
      </c>
      <c r="F21" s="18">
        <f>C$12*D21</f>
        <v>2639210.2367999991</v>
      </c>
      <c r="G21" s="17">
        <f>1-G19-G20</f>
        <v>7.5000000000000011E-2</v>
      </c>
      <c r="H21" s="18">
        <f>D$12*G21</f>
        <v>547114.98802500009</v>
      </c>
      <c r="I21" s="18">
        <f>E$12*G21</f>
        <v>3958815.3552000001</v>
      </c>
      <c r="J21" s="17">
        <f>1-J19-J20</f>
        <v>0.10000000000000003</v>
      </c>
      <c r="K21" s="18">
        <f>F$12*J21</f>
        <v>729486.65070000023</v>
      </c>
      <c r="L21" s="18">
        <f>G$12*J21</f>
        <v>5278420.4736000011</v>
      </c>
    </row>
    <row r="22" spans="1:12" x14ac:dyDescent="0.3">
      <c r="K22" s="5"/>
    </row>
  </sheetData>
  <mergeCells count="10">
    <mergeCell ref="J17:L17"/>
    <mergeCell ref="A18:B18"/>
    <mergeCell ref="A19:B19"/>
    <mergeCell ref="A20:B20"/>
    <mergeCell ref="A21:B21"/>
    <mergeCell ref="B14:C14"/>
    <mergeCell ref="D14:E14"/>
    <mergeCell ref="F14:G14"/>
    <mergeCell ref="D17:F17"/>
    <mergeCell ref="G17:I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31"/>
  <sheetViews>
    <sheetView zoomScale="90" zoomScaleNormal="90" workbookViewId="0">
      <selection activeCell="B5" sqref="B5"/>
    </sheetView>
  </sheetViews>
  <sheetFormatPr defaultColWidth="8.59765625" defaultRowHeight="15.6" x14ac:dyDescent="0.3"/>
  <cols>
    <col min="1" max="1" width="79" style="5" customWidth="1"/>
    <col min="2" max="2" width="25.59765625" style="5" customWidth="1"/>
    <col min="3" max="3" width="8.59765625" style="6"/>
    <col min="4" max="4" width="18.5" style="5" customWidth="1"/>
    <col min="5" max="5" width="18" style="5" customWidth="1"/>
    <col min="6" max="6" width="23.19921875" style="5" customWidth="1"/>
    <col min="7" max="16379" width="8.59765625" style="6"/>
    <col min="16380" max="16384" width="10.5" style="5" customWidth="1"/>
  </cols>
  <sheetData>
    <row r="1" spans="1:6" ht="52.2" x14ac:dyDescent="0.3">
      <c r="A1" s="19" t="s">
        <v>22</v>
      </c>
      <c r="B1" s="19" t="s">
        <v>23</v>
      </c>
      <c r="C1" s="19" t="s">
        <v>16</v>
      </c>
      <c r="D1" s="19" t="s">
        <v>24</v>
      </c>
      <c r="E1" s="19" t="s">
        <v>25</v>
      </c>
      <c r="F1" s="19" t="s">
        <v>26</v>
      </c>
    </row>
    <row r="2" spans="1:6" x14ac:dyDescent="0.3">
      <c r="A2" s="20" t="s">
        <v>27</v>
      </c>
      <c r="B2" s="21">
        <v>4845671.4000000004</v>
      </c>
      <c r="C2" s="22">
        <f>B2/SUM(B$2:B$3)</f>
        <v>0.75840382857784494</v>
      </c>
      <c r="D2" s="21">
        <f>'00-BUDGET'!E$19*C2</f>
        <v>4149341.0159048182</v>
      </c>
      <c r="E2" s="21">
        <f>'00-BUDGET'!H$19*C2</f>
        <v>4011029.6487079905</v>
      </c>
      <c r="F2" s="21">
        <f>'00-BUDGET'!K$19*C2</f>
        <v>3872718.2815111633</v>
      </c>
    </row>
    <row r="3" spans="1:6" x14ac:dyDescent="0.3">
      <c r="A3" s="20" t="s">
        <v>28</v>
      </c>
      <c r="B3" s="21">
        <v>1543630.9972289</v>
      </c>
      <c r="C3" s="22">
        <f>B3/SUM(B$2:B$3)</f>
        <v>0.24159617142215511</v>
      </c>
      <c r="D3" s="21">
        <f>'00-BUDGET'!E$19*C3</f>
        <v>1321808.8643451824</v>
      </c>
      <c r="E3" s="21">
        <f>'00-BUDGET'!H$19*C3</f>
        <v>1277748.5688670096</v>
      </c>
      <c r="F3" s="21">
        <f>'00-BUDGET'!K$19*C3</f>
        <v>1233688.273388837</v>
      </c>
    </row>
    <row r="4" spans="1:6" x14ac:dyDescent="0.3">
      <c r="A4" s="20"/>
      <c r="B4" s="21"/>
      <c r="C4" s="22"/>
      <c r="D4" s="21"/>
      <c r="E4" s="21"/>
      <c r="F4" s="21"/>
    </row>
    <row r="5" spans="1:6" ht="15" customHeight="1" x14ac:dyDescent="0.3">
      <c r="A5" s="20" t="s">
        <v>29</v>
      </c>
      <c r="B5" s="21">
        <v>20673079.978</v>
      </c>
      <c r="C5" s="22">
        <f t="shared" ref="C5:C31" si="0">B5/SUM(B$5:B$31)</f>
        <v>0.4346347473769524</v>
      </c>
      <c r="D5" s="21">
        <f>'00-BUDGET'!F$19*C5</f>
        <v>17206387.118193518</v>
      </c>
      <c r="E5" s="21">
        <f>'00-BUDGET'!I$19*C5</f>
        <v>16632840.880920401</v>
      </c>
      <c r="F5" s="21">
        <f>'00-BUDGET'!L$19*C5</f>
        <v>16059294.643647283</v>
      </c>
    </row>
    <row r="6" spans="1:6" ht="15" customHeight="1" x14ac:dyDescent="0.3">
      <c r="A6" s="20" t="s">
        <v>30</v>
      </c>
      <c r="B6" s="21">
        <v>1354595.2651160101</v>
      </c>
      <c r="C6" s="22">
        <f t="shared" si="0"/>
        <v>2.8479267311801473E-2</v>
      </c>
      <c r="D6" s="21">
        <f>'00-BUDGET'!F$19*C6</f>
        <v>1127441.6073880508</v>
      </c>
      <c r="E6" s="21">
        <f>'00-BUDGET'!I$19*C6</f>
        <v>1089860.2204751158</v>
      </c>
      <c r="F6" s="21">
        <f>'00-BUDGET'!L$19*C6</f>
        <v>1052278.8335621806</v>
      </c>
    </row>
    <row r="7" spans="1:6" ht="15" customHeight="1" x14ac:dyDescent="0.3">
      <c r="A7" s="20" t="s">
        <v>31</v>
      </c>
      <c r="B7" s="21">
        <v>567965.81099999999</v>
      </c>
      <c r="C7" s="22">
        <f t="shared" si="0"/>
        <v>1.194102074027834E-2</v>
      </c>
      <c r="D7" s="21">
        <f>'00-BUDGET'!F$19*C7</f>
        <v>472722.96263375558</v>
      </c>
      <c r="E7" s="21">
        <f>'00-BUDGET'!I$19*C7</f>
        <v>456965.53054596373</v>
      </c>
      <c r="F7" s="21">
        <f>'00-BUDGET'!L$19*C7</f>
        <v>441208.09845817188</v>
      </c>
    </row>
    <row r="8" spans="1:6" ht="15" customHeight="1" x14ac:dyDescent="0.3">
      <c r="A8" s="20" t="s">
        <v>32</v>
      </c>
      <c r="B8" s="21">
        <v>175631.87818379299</v>
      </c>
      <c r="C8" s="22">
        <f t="shared" si="0"/>
        <v>3.6925178583446655E-3</v>
      </c>
      <c r="D8" s="21">
        <f>'00-BUDGET'!F$19*C8</f>
        <v>146179.96396965077</v>
      </c>
      <c r="E8" s="21">
        <f>'00-BUDGET'!I$19*C8</f>
        <v>141307.29850399576</v>
      </c>
      <c r="F8" s="21">
        <f>'00-BUDGET'!L$19*C8</f>
        <v>136434.63303834072</v>
      </c>
    </row>
    <row r="9" spans="1:6" ht="15" customHeight="1" x14ac:dyDescent="0.3">
      <c r="A9" s="20" t="s">
        <v>33</v>
      </c>
      <c r="B9" s="21">
        <v>1009005.063</v>
      </c>
      <c r="C9" s="22">
        <f t="shared" si="0"/>
        <v>2.1213513473839807E-2</v>
      </c>
      <c r="D9" s="21">
        <f>'00-BUDGET'!F$19*C9</f>
        <v>839803.82877979113</v>
      </c>
      <c r="E9" s="21">
        <f>'00-BUDGET'!I$19*C9</f>
        <v>811810.36782046477</v>
      </c>
      <c r="F9" s="21">
        <f>'00-BUDGET'!L$19*C9</f>
        <v>783816.9068611383</v>
      </c>
    </row>
    <row r="10" spans="1:6" ht="15" customHeight="1" x14ac:dyDescent="0.3">
      <c r="A10" s="20" t="s">
        <v>34</v>
      </c>
      <c r="B10" s="21">
        <v>1365480.4450000001</v>
      </c>
      <c r="C10" s="22">
        <f t="shared" si="0"/>
        <v>2.8708119394513166E-2</v>
      </c>
      <c r="D10" s="21">
        <f>'00-BUDGET'!F$19*C10</f>
        <v>1136501.4387791364</v>
      </c>
      <c r="E10" s="21">
        <f>'00-BUDGET'!I$19*C10</f>
        <v>1098618.0574864985</v>
      </c>
      <c r="F10" s="21">
        <f>'00-BUDGET'!L$19*C10</f>
        <v>1060734.6761938606</v>
      </c>
    </row>
    <row r="11" spans="1:6" ht="15" customHeight="1" x14ac:dyDescent="0.3">
      <c r="A11" s="20" t="s">
        <v>35</v>
      </c>
      <c r="B11" s="21">
        <v>1013425.58</v>
      </c>
      <c r="C11" s="22">
        <f t="shared" si="0"/>
        <v>2.1306451260159752E-2</v>
      </c>
      <c r="D11" s="21">
        <f>'00-BUDGET'!F$19*C11</f>
        <v>843483.06413540803</v>
      </c>
      <c r="E11" s="21">
        <f>'00-BUDGET'!I$19*C11</f>
        <v>815366.96199756104</v>
      </c>
      <c r="F11" s="21">
        <f>'00-BUDGET'!L$19*C11</f>
        <v>787250.85985971417</v>
      </c>
    </row>
    <row r="12" spans="1:6" ht="15" customHeight="1" x14ac:dyDescent="0.3">
      <c r="A12" s="20" t="s">
        <v>36</v>
      </c>
      <c r="B12" s="21">
        <v>960479.21</v>
      </c>
      <c r="C12" s="22">
        <f t="shared" si="0"/>
        <v>2.0193296753237416E-2</v>
      </c>
      <c r="D12" s="21">
        <f>'00-BUDGET'!F$19*C12</f>
        <v>799415.33258826577</v>
      </c>
      <c r="E12" s="21">
        <f>'00-BUDGET'!I$19*C12</f>
        <v>772768.15483532357</v>
      </c>
      <c r="F12" s="21">
        <f>'00-BUDGET'!L$19*C12</f>
        <v>746120.97708238137</v>
      </c>
    </row>
    <row r="13" spans="1:6" ht="15" customHeight="1" x14ac:dyDescent="0.3">
      <c r="A13" s="20" t="s">
        <v>37</v>
      </c>
      <c r="B13" s="21">
        <v>400729.36499999999</v>
      </c>
      <c r="C13" s="22">
        <f t="shared" si="0"/>
        <v>8.4250100376263119E-3</v>
      </c>
      <c r="D13" s="21">
        <f>'00-BUDGET'!F$19*C13</f>
        <v>333530.5910466917</v>
      </c>
      <c r="E13" s="21">
        <f>'00-BUDGET'!I$19*C13</f>
        <v>322412.90467846865</v>
      </c>
      <c r="F13" s="21">
        <f>'00-BUDGET'!L$19*C13</f>
        <v>311295.21831024555</v>
      </c>
    </row>
    <row r="14" spans="1:6" ht="15" customHeight="1" x14ac:dyDescent="0.3">
      <c r="A14" s="20" t="s">
        <v>38</v>
      </c>
      <c r="B14" s="21">
        <v>234883.288818823</v>
      </c>
      <c r="C14" s="22">
        <f t="shared" si="0"/>
        <v>4.9382307332762202E-3</v>
      </c>
      <c r="D14" s="21">
        <f>'00-BUDGET'!F$19*C14</f>
        <v>195495.43654414453</v>
      </c>
      <c r="E14" s="21">
        <f>'00-BUDGET'!I$19*C14</f>
        <v>188978.92199267304</v>
      </c>
      <c r="F14" s="21">
        <f>'00-BUDGET'!L$19*C14</f>
        <v>182462.40744120156</v>
      </c>
    </row>
    <row r="15" spans="1:6" ht="15" customHeight="1" x14ac:dyDescent="0.3">
      <c r="A15" s="20" t="s">
        <v>39</v>
      </c>
      <c r="B15" s="21">
        <v>594694.95799999998</v>
      </c>
      <c r="C15" s="22">
        <f t="shared" si="0"/>
        <v>1.2502979387287375E-2</v>
      </c>
      <c r="D15" s="21">
        <f>'00-BUDGET'!F$19*C15</f>
        <v>494969.86784142337</v>
      </c>
      <c r="E15" s="21">
        <f>'00-BUDGET'!I$19*C15</f>
        <v>478470.8722467093</v>
      </c>
      <c r="F15" s="21">
        <f>'00-BUDGET'!L$19*C15</f>
        <v>461971.87665199518</v>
      </c>
    </row>
    <row r="16" spans="1:6" ht="15" customHeight="1" x14ac:dyDescent="0.3">
      <c r="A16" s="20" t="s">
        <v>40</v>
      </c>
      <c r="B16" s="21">
        <v>272410.99</v>
      </c>
      <c r="C16" s="22">
        <f t="shared" si="0"/>
        <v>5.7272202278206416E-3</v>
      </c>
      <c r="D16" s="21">
        <f>'00-BUDGET'!F$19*C16</f>
        <v>226730.07380508396</v>
      </c>
      <c r="E16" s="21">
        <f>'00-BUDGET'!I$19*C16</f>
        <v>219172.40467824781</v>
      </c>
      <c r="F16" s="21">
        <f>'00-BUDGET'!L$19*C16</f>
        <v>211614.73555141166</v>
      </c>
    </row>
    <row r="17" spans="1:8" ht="15" customHeight="1" x14ac:dyDescent="0.3">
      <c r="A17" s="20" t="s">
        <v>41</v>
      </c>
      <c r="B17" s="21">
        <v>999017.19499999995</v>
      </c>
      <c r="C17" s="22">
        <f t="shared" si="0"/>
        <v>2.10035266460602E-2</v>
      </c>
      <c r="D17" s="21">
        <f>'00-BUDGET'!F$19*C17</f>
        <v>831490.83799775457</v>
      </c>
      <c r="E17" s="21">
        <f>'00-BUDGET'!I$19*C17</f>
        <v>803774.47673116275</v>
      </c>
      <c r="F17" s="21">
        <f>'00-BUDGET'!L$19*C17</f>
        <v>776058.11546457093</v>
      </c>
    </row>
    <row r="18" spans="1:8" ht="15" customHeight="1" x14ac:dyDescent="0.3">
      <c r="A18" s="20" t="s">
        <v>42</v>
      </c>
      <c r="B18" s="21">
        <v>1430698.8910000001</v>
      </c>
      <c r="C18" s="22">
        <f t="shared" si="0"/>
        <v>3.0079284350663534E-2</v>
      </c>
      <c r="D18" s="21">
        <f>'00-BUDGET'!F$19*C18</f>
        <v>1190783.3276083383</v>
      </c>
      <c r="E18" s="21">
        <f>'00-BUDGET'!I$19*C18</f>
        <v>1151090.5500213937</v>
      </c>
      <c r="F18" s="21">
        <f>'00-BUDGET'!L$19*C18</f>
        <v>1111397.7724344491</v>
      </c>
    </row>
    <row r="19" spans="1:8" ht="15" customHeight="1" x14ac:dyDescent="0.3">
      <c r="A19" s="20" t="s">
        <v>43</v>
      </c>
      <c r="B19" s="21">
        <v>256430.715</v>
      </c>
      <c r="C19" s="22">
        <f t="shared" si="0"/>
        <v>5.3912479007638793E-3</v>
      </c>
      <c r="D19" s="21">
        <f>'00-BUDGET'!F$19*C19</f>
        <v>213429.54973233808</v>
      </c>
      <c r="E19" s="21">
        <f>'00-BUDGET'!I$19*C19</f>
        <v>206315.2314079268</v>
      </c>
      <c r="F19" s="21">
        <f>'00-BUDGET'!L$19*C19</f>
        <v>199200.91308351554</v>
      </c>
      <c r="G19" s="23"/>
      <c r="H19" s="23"/>
    </row>
    <row r="20" spans="1:8" ht="15" customHeight="1" x14ac:dyDescent="0.3">
      <c r="A20" s="20" t="s">
        <v>44</v>
      </c>
      <c r="B20" s="21">
        <v>657114.46799999999</v>
      </c>
      <c r="C20" s="22">
        <f t="shared" si="0"/>
        <v>1.3815298983066725E-2</v>
      </c>
      <c r="D20" s="21">
        <f>'00-BUDGET'!F$19*C20</f>
        <v>546922.17750843486</v>
      </c>
      <c r="E20" s="21">
        <f>'00-BUDGET'!I$19*C20</f>
        <v>528691.43825815374</v>
      </c>
      <c r="F20" s="21">
        <f>'00-BUDGET'!L$19*C20</f>
        <v>510460.69900787255</v>
      </c>
    </row>
    <row r="21" spans="1:8" ht="15" customHeight="1" x14ac:dyDescent="0.3">
      <c r="A21" s="20" t="s">
        <v>45</v>
      </c>
      <c r="B21" s="21">
        <v>2381447.27</v>
      </c>
      <c r="C21" s="22">
        <f t="shared" si="0"/>
        <v>5.006799827067273E-2</v>
      </c>
      <c r="D21" s="21">
        <f>'00-BUDGET'!F$19*C21</f>
        <v>1982099.603580662</v>
      </c>
      <c r="E21" s="21">
        <f>'00-BUDGET'!I$19*C21</f>
        <v>1916029.61679464</v>
      </c>
      <c r="F21" s="21">
        <f>'00-BUDGET'!L$19*C21</f>
        <v>1849959.6300086179</v>
      </c>
    </row>
    <row r="22" spans="1:8" ht="15" customHeight="1" x14ac:dyDescent="0.3">
      <c r="A22" s="20" t="s">
        <v>46</v>
      </c>
      <c r="B22" s="21">
        <v>1919023.8149999999</v>
      </c>
      <c r="C22" s="22">
        <f t="shared" si="0"/>
        <v>4.0345920004686807E-2</v>
      </c>
      <c r="D22" s="21">
        <f>'00-BUDGET'!F$19*C22</f>
        <v>1597220.4763422497</v>
      </c>
      <c r="E22" s="21">
        <f>'00-BUDGET'!I$19*C22</f>
        <v>1543979.7937975079</v>
      </c>
      <c r="F22" s="21">
        <f>'00-BUDGET'!L$19*C22</f>
        <v>1490739.1112527663</v>
      </c>
    </row>
    <row r="23" spans="1:8" ht="15" customHeight="1" x14ac:dyDescent="0.3">
      <c r="A23" s="20" t="s">
        <v>47</v>
      </c>
      <c r="B23" s="21">
        <v>3640679.4813063601</v>
      </c>
      <c r="C23" s="22">
        <f t="shared" si="0"/>
        <v>7.6542334684622487E-2</v>
      </c>
      <c r="D23" s="21">
        <f>'00-BUDGET'!F$19*C23</f>
        <v>3030169.6987234103</v>
      </c>
      <c r="E23" s="21">
        <f>'00-BUDGET'!I$19*C23</f>
        <v>2929164.0420992961</v>
      </c>
      <c r="F23" s="21">
        <f>'00-BUDGET'!L$19*C23</f>
        <v>2828158.3854751824</v>
      </c>
    </row>
    <row r="24" spans="1:8" ht="15" customHeight="1" x14ac:dyDescent="0.3">
      <c r="A24" s="20" t="s">
        <v>48</v>
      </c>
      <c r="B24" s="21">
        <v>1472796.2607501601</v>
      </c>
      <c r="C24" s="22">
        <f t="shared" si="0"/>
        <v>3.096434742235224E-2</v>
      </c>
      <c r="D24" s="21">
        <f>'00-BUDGET'!F$19*C24</f>
        <v>1225821.3403935556</v>
      </c>
      <c r="E24" s="21">
        <f>'00-BUDGET'!I$19*C24</f>
        <v>1184960.6290471037</v>
      </c>
      <c r="F24" s="21">
        <f>'00-BUDGET'!L$19*C24</f>
        <v>1144099.917700652</v>
      </c>
    </row>
    <row r="25" spans="1:8" ht="15" customHeight="1" x14ac:dyDescent="0.3">
      <c r="A25" s="20" t="s">
        <v>49</v>
      </c>
      <c r="B25" s="21">
        <v>1655871.3629999999</v>
      </c>
      <c r="C25" s="22">
        <f t="shared" si="0"/>
        <v>3.4813353032645766E-2</v>
      </c>
      <c r="D25" s="21">
        <f>'00-BUDGET'!F$19*C25</f>
        <v>1378196.3655163653</v>
      </c>
      <c r="E25" s="21">
        <f>'00-BUDGET'!I$19*C25</f>
        <v>1332256.4866658198</v>
      </c>
      <c r="F25" s="21">
        <f>'00-BUDGET'!L$19*C25</f>
        <v>1286316.6078152743</v>
      </c>
    </row>
    <row r="26" spans="1:8" ht="15" customHeight="1" x14ac:dyDescent="0.3">
      <c r="A26" s="20" t="s">
        <v>50</v>
      </c>
      <c r="B26" s="21">
        <v>702398.647</v>
      </c>
      <c r="C26" s="22">
        <f t="shared" si="0"/>
        <v>1.4767362135764973E-2</v>
      </c>
      <c r="D26" s="21">
        <f>'00-BUDGET'!F$19*C26</f>
        <v>584612.59978865436</v>
      </c>
      <c r="E26" s="21">
        <f>'00-BUDGET'!I$19*C26</f>
        <v>565125.51312903257</v>
      </c>
      <c r="F26" s="21">
        <f>'00-BUDGET'!L$19*C26</f>
        <v>545638.42646941065</v>
      </c>
    </row>
    <row r="27" spans="1:8" ht="15" customHeight="1" x14ac:dyDescent="0.3">
      <c r="A27" s="20" t="s">
        <v>51</v>
      </c>
      <c r="B27" s="21">
        <v>639208.68000000005</v>
      </c>
      <c r="C27" s="22">
        <f t="shared" si="0"/>
        <v>1.3438844306151276E-2</v>
      </c>
      <c r="D27" s="21">
        <f>'00-BUDGET'!F$19*C27</f>
        <v>532019.03195333749</v>
      </c>
      <c r="E27" s="21">
        <f>'00-BUDGET'!I$19*C27</f>
        <v>514285.06422155962</v>
      </c>
      <c r="F27" s="21">
        <f>'00-BUDGET'!L$19*C27</f>
        <v>496551.09648978169</v>
      </c>
    </row>
    <row r="28" spans="1:8" ht="15" customHeight="1" x14ac:dyDescent="0.3">
      <c r="A28" s="20" t="s">
        <v>52</v>
      </c>
      <c r="B28" s="21">
        <v>636797.66</v>
      </c>
      <c r="C28" s="22">
        <f t="shared" si="0"/>
        <v>1.3388154565206242E-2</v>
      </c>
      <c r="D28" s="21">
        <f>'00-BUDGET'!F$19*C28</f>
        <v>530012.3187052944</v>
      </c>
      <c r="E28" s="21">
        <f>'00-BUDGET'!I$19*C28</f>
        <v>512345.24141511793</v>
      </c>
      <c r="F28" s="21">
        <f>'00-BUDGET'!L$19*C28</f>
        <v>494678.16412494145</v>
      </c>
    </row>
    <row r="29" spans="1:8" ht="15" customHeight="1" x14ac:dyDescent="0.3">
      <c r="A29" s="24" t="s">
        <v>53</v>
      </c>
      <c r="B29" s="21">
        <v>1146746.959</v>
      </c>
      <c r="C29" s="22">
        <f t="shared" si="0"/>
        <v>2.4109425173252402E-2</v>
      </c>
      <c r="D29" s="21">
        <f>'00-BUDGET'!F$19*C29</f>
        <v>954447.62580917019</v>
      </c>
      <c r="E29" s="21">
        <f>'00-BUDGET'!I$19*C29</f>
        <v>922632.70494886453</v>
      </c>
      <c r="F29" s="21">
        <f>'00-BUDGET'!L$19*C29</f>
        <v>890817.78408855875</v>
      </c>
    </row>
    <row r="30" spans="1:8" ht="15" customHeight="1" x14ac:dyDescent="0.3">
      <c r="A30" s="24" t="s">
        <v>54</v>
      </c>
      <c r="B30" s="21">
        <v>1287286.3999999999</v>
      </c>
      <c r="C30" s="22">
        <f t="shared" si="0"/>
        <v>2.706415298838866E-2</v>
      </c>
      <c r="D30" s="21">
        <f>'00-BUDGET'!F$19*C30</f>
        <v>1071419.8442591499</v>
      </c>
      <c r="E30" s="21">
        <f>'00-BUDGET'!I$19*C30</f>
        <v>1035705.8494505114</v>
      </c>
      <c r="F30" s="21">
        <f>'00-BUDGET'!L$19*C30</f>
        <v>999991.85464187316</v>
      </c>
    </row>
    <row r="31" spans="1:8" x14ac:dyDescent="0.3">
      <c r="A31" s="20" t="s">
        <v>55</v>
      </c>
      <c r="B31" s="21">
        <v>116360.01478164201</v>
      </c>
      <c r="C31" s="22">
        <f t="shared" si="0"/>
        <v>2.4463749805649507E-3</v>
      </c>
      <c r="D31" s="21">
        <f>'00-BUDGET'!F$19*C31</f>
        <v>96847.468376376273</v>
      </c>
      <c r="E31" s="21">
        <f>'00-BUDGET'!I$19*C31</f>
        <v>93619.219430497062</v>
      </c>
      <c r="F31" s="21">
        <f>'00-BUDGET'!L$19*C31</f>
        <v>90390.97048461785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31"/>
  <sheetViews>
    <sheetView zoomScale="90" zoomScaleNormal="90" workbookViewId="0">
      <selection activeCell="F1" sqref="F1"/>
    </sheetView>
  </sheetViews>
  <sheetFormatPr defaultColWidth="8.59765625" defaultRowHeight="15.6" x14ac:dyDescent="0.3"/>
  <cols>
    <col min="1" max="1" width="79" style="5" customWidth="1"/>
    <col min="2" max="2" width="25.59765625" style="5" customWidth="1"/>
    <col min="3" max="3" width="8.59765625" style="6"/>
    <col min="4" max="4" width="18.5" style="5" customWidth="1"/>
    <col min="5" max="16377" width="8.59765625" style="6"/>
    <col min="16378" max="16384" width="10.5" style="5" customWidth="1"/>
  </cols>
  <sheetData>
    <row r="1" spans="1:6" ht="52.2" x14ac:dyDescent="0.3">
      <c r="A1" s="19" t="s">
        <v>22</v>
      </c>
      <c r="B1" s="19" t="s">
        <v>56</v>
      </c>
      <c r="C1" s="19" t="s">
        <v>16</v>
      </c>
      <c r="D1" s="19" t="s">
        <v>57</v>
      </c>
    </row>
    <row r="2" spans="1:6" ht="15" customHeight="1" x14ac:dyDescent="0.3">
      <c r="A2" s="20" t="s">
        <v>27</v>
      </c>
      <c r="B2" s="21">
        <v>5903802</v>
      </c>
      <c r="C2" s="22">
        <f>B2/SUM(B$2:B$3)</f>
        <v>0.69230769230769229</v>
      </c>
      <c r="D2" s="21">
        <f>'00-BUDGET'!E$20*C2</f>
        <v>1010058.4394307694</v>
      </c>
      <c r="F2" s="5"/>
    </row>
    <row r="3" spans="1:6" ht="15" customHeight="1" x14ac:dyDescent="0.3">
      <c r="A3" s="20" t="s">
        <v>28</v>
      </c>
      <c r="B3" s="21">
        <v>2623912</v>
      </c>
      <c r="C3" s="22">
        <f>B3/SUM(B$2:B$3)</f>
        <v>0.30769230769230771</v>
      </c>
      <c r="D3" s="21">
        <f>'00-BUDGET'!E$20*C3</f>
        <v>448914.86196923087</v>
      </c>
      <c r="F3" s="5"/>
    </row>
    <row r="4" spans="1:6" ht="15" customHeight="1" x14ac:dyDescent="0.3">
      <c r="A4" s="20"/>
      <c r="B4" s="21"/>
      <c r="C4" s="22"/>
      <c r="D4" s="21">
        <f>'00-BUDGET'!E$19*C4</f>
        <v>0</v>
      </c>
    </row>
    <row r="5" spans="1:6" ht="15" customHeight="1" x14ac:dyDescent="0.3">
      <c r="A5" s="20" t="s">
        <v>29</v>
      </c>
      <c r="B5" s="21">
        <v>42369514.770000003</v>
      </c>
      <c r="C5" s="22">
        <f t="shared" ref="C5:C31" si="0">B5/SUM(B$5:B$31)</f>
        <v>0.47429174163651761</v>
      </c>
      <c r="D5" s="21">
        <f>'00-BUDGET'!F$20*C5</f>
        <v>5007022.4790271921</v>
      </c>
    </row>
    <row r="6" spans="1:6" ht="15" customHeight="1" x14ac:dyDescent="0.3">
      <c r="A6" s="20" t="s">
        <v>30</v>
      </c>
      <c r="B6" s="21">
        <v>1710660</v>
      </c>
      <c r="C6" s="22">
        <f t="shared" si="0"/>
        <v>1.9149426542935249E-2</v>
      </c>
      <c r="D6" s="21">
        <f>'00-BUDGET'!F$20*C6</f>
        <v>202157.4502438574</v>
      </c>
    </row>
    <row r="7" spans="1:6" ht="15" customHeight="1" x14ac:dyDescent="0.3">
      <c r="A7" s="20" t="s">
        <v>31</v>
      </c>
      <c r="B7" s="21">
        <v>805688</v>
      </c>
      <c r="C7" s="22">
        <f t="shared" si="0"/>
        <v>9.0190120611485722E-3</v>
      </c>
      <c r="D7" s="21">
        <f>'00-BUDGET'!F$20*C7</f>
        <v>95212.275830423925</v>
      </c>
    </row>
    <row r="8" spans="1:6" ht="15" customHeight="1" x14ac:dyDescent="0.3">
      <c r="A8" s="20" t="s">
        <v>32</v>
      </c>
      <c r="B8" s="21">
        <v>271531</v>
      </c>
      <c r="C8" s="22">
        <f t="shared" si="0"/>
        <v>3.0395653950111368E-3</v>
      </c>
      <c r="D8" s="21">
        <f>'00-BUDGET'!F$20*C8</f>
        <v>32088.208423745713</v>
      </c>
    </row>
    <row r="9" spans="1:6" ht="15" customHeight="1" x14ac:dyDescent="0.3">
      <c r="A9" s="20" t="s">
        <v>33</v>
      </c>
      <c r="B9" s="21">
        <v>2770161</v>
      </c>
      <c r="C9" s="22">
        <f t="shared" si="0"/>
        <v>3.1009665615378892E-2</v>
      </c>
      <c r="D9" s="21">
        <f>'00-BUDGET'!F$20*C9</f>
        <v>327364.10772741179</v>
      </c>
    </row>
    <row r="10" spans="1:6" ht="15" customHeight="1" x14ac:dyDescent="0.3">
      <c r="A10" s="20" t="s">
        <v>34</v>
      </c>
      <c r="B10" s="21">
        <v>1964840.44</v>
      </c>
      <c r="C10" s="22">
        <f t="shared" si="0"/>
        <v>2.1994766741707045E-2</v>
      </c>
      <c r="D10" s="21">
        <f>'00-BUDGET'!F$20*C10</f>
        <v>232195.25416296566</v>
      </c>
    </row>
    <row r="11" spans="1:6" ht="15" customHeight="1" x14ac:dyDescent="0.3">
      <c r="A11" s="20" t="s">
        <v>35</v>
      </c>
      <c r="B11" s="21">
        <v>1194905</v>
      </c>
      <c r="C11" s="22">
        <f t="shared" si="0"/>
        <v>1.3375975075868988E-2</v>
      </c>
      <c r="D11" s="21">
        <f>'00-BUDGET'!F$20*C11</f>
        <v>141208.04138966036</v>
      </c>
    </row>
    <row r="12" spans="1:6" ht="15" customHeight="1" x14ac:dyDescent="0.3">
      <c r="A12" s="20" t="s">
        <v>36</v>
      </c>
      <c r="B12" s="21">
        <v>1468851.15</v>
      </c>
      <c r="C12" s="22">
        <f t="shared" si="0"/>
        <v>1.6442576081413585E-2</v>
      </c>
      <c r="D12" s="21">
        <f>'00-BUDGET'!F$20*C12</f>
        <v>173581.66045371824</v>
      </c>
    </row>
    <row r="13" spans="1:6" ht="15" customHeight="1" x14ac:dyDescent="0.3">
      <c r="A13" s="20" t="s">
        <v>37</v>
      </c>
      <c r="B13" s="21">
        <v>1023418.4</v>
      </c>
      <c r="C13" s="22">
        <f t="shared" si="0"/>
        <v>1.1456324151782543E-2</v>
      </c>
      <c r="D13" s="21">
        <f>'00-BUDGET'!F$20*C13</f>
        <v>120942.59190993427</v>
      </c>
    </row>
    <row r="14" spans="1:6" ht="15" customHeight="1" x14ac:dyDescent="0.3">
      <c r="A14" s="20" t="s">
        <v>38</v>
      </c>
      <c r="B14" s="21">
        <v>555470.9</v>
      </c>
      <c r="C14" s="22">
        <f t="shared" si="0"/>
        <v>6.2180381819228444E-3</v>
      </c>
      <c r="D14" s="21">
        <f>'00-BUDGET'!F$20*C14</f>
        <v>65642.840090176134</v>
      </c>
    </row>
    <row r="15" spans="1:6" ht="15" customHeight="1" x14ac:dyDescent="0.3">
      <c r="A15" s="20" t="s">
        <v>39</v>
      </c>
      <c r="B15" s="21">
        <v>860909.63</v>
      </c>
      <c r="C15" s="22">
        <f t="shared" si="0"/>
        <v>9.6371726233094625E-3</v>
      </c>
      <c r="D15" s="21">
        <f>'00-BUDGET'!F$20*C15</f>
        <v>101738.09856498818</v>
      </c>
    </row>
    <row r="16" spans="1:6" ht="15" customHeight="1" x14ac:dyDescent="0.3">
      <c r="A16" s="20" t="s">
        <v>40</v>
      </c>
      <c r="B16" s="21">
        <v>695251.44</v>
      </c>
      <c r="C16" s="22">
        <f t="shared" si="0"/>
        <v>7.7827659377959109E-3</v>
      </c>
      <c r="D16" s="21">
        <f>'00-BUDGET'!F$20*C16</f>
        <v>82161.422134597276</v>
      </c>
    </row>
    <row r="17" spans="1:4" ht="15" customHeight="1" x14ac:dyDescent="0.3">
      <c r="A17" s="20" t="s">
        <v>41</v>
      </c>
      <c r="B17" s="21">
        <v>1819070.24</v>
      </c>
      <c r="C17" s="22">
        <f t="shared" si="0"/>
        <v>2.0362989686623638E-2</v>
      </c>
      <c r="D17" s="21">
        <f>'00-BUDGET'!F$20*C17</f>
        <v>214968.84333115973</v>
      </c>
    </row>
    <row r="18" spans="1:4" ht="15" customHeight="1" x14ac:dyDescent="0.3">
      <c r="A18" s="20" t="s">
        <v>42</v>
      </c>
      <c r="B18" s="21">
        <v>2360818.15</v>
      </c>
      <c r="C18" s="22">
        <f t="shared" si="0"/>
        <v>2.6427410323882766E-2</v>
      </c>
      <c r="D18" s="21">
        <f>'00-BUDGET'!F$20*C18</f>
        <v>278989.9674356216</v>
      </c>
    </row>
    <row r="19" spans="1:4" ht="15" customHeight="1" x14ac:dyDescent="0.3">
      <c r="A19" s="20" t="s">
        <v>43</v>
      </c>
      <c r="B19" s="21">
        <v>1995942.98</v>
      </c>
      <c r="C19" s="22">
        <f t="shared" si="0"/>
        <v>2.2342934001728737E-2</v>
      </c>
      <c r="D19" s="21">
        <f>'00-BUDGET'!F$20*C19</f>
        <v>235870.80055003709</v>
      </c>
    </row>
    <row r="20" spans="1:4" ht="15" customHeight="1" x14ac:dyDescent="0.3">
      <c r="A20" s="20" t="s">
        <v>44</v>
      </c>
      <c r="B20" s="21">
        <v>1092050</v>
      </c>
      <c r="C20" s="22">
        <f t="shared" si="0"/>
        <v>1.2224598258106486E-2</v>
      </c>
      <c r="D20" s="21">
        <f>'00-BUDGET'!F$20*C20</f>
        <v>129053.13945424835</v>
      </c>
    </row>
    <row r="21" spans="1:4" ht="15" customHeight="1" x14ac:dyDescent="0.3">
      <c r="A21" s="20" t="s">
        <v>45</v>
      </c>
      <c r="B21" s="21">
        <v>4956828.5999999996</v>
      </c>
      <c r="C21" s="22">
        <f t="shared" si="0"/>
        <v>5.5487604294027201E-2</v>
      </c>
      <c r="D21" s="21">
        <f>'00-BUDGET'!F$20*C21</f>
        <v>585773.81307321694</v>
      </c>
    </row>
    <row r="22" spans="1:4" ht="15" customHeight="1" x14ac:dyDescent="0.3">
      <c r="A22" s="20" t="s">
        <v>46</v>
      </c>
      <c r="B22" s="21">
        <v>4109529</v>
      </c>
      <c r="C22" s="22">
        <f t="shared" si="0"/>
        <v>4.6002784721430413E-2</v>
      </c>
      <c r="D22" s="21">
        <f>'00-BUDGET'!F$20*C22</f>
        <v>485644.08143242315</v>
      </c>
    </row>
    <row r="23" spans="1:4" ht="15" customHeight="1" x14ac:dyDescent="0.3">
      <c r="A23" s="20" t="s">
        <v>47</v>
      </c>
      <c r="B23" s="21">
        <v>4808180.57</v>
      </c>
      <c r="C23" s="22">
        <f t="shared" si="0"/>
        <v>5.3823612307754634E-2</v>
      </c>
      <c r="D23" s="21">
        <f>'00-BUDGET'!F$20*C23</f>
        <v>568207.31433672202</v>
      </c>
    </row>
    <row r="24" spans="1:4" ht="15" customHeight="1" x14ac:dyDescent="0.3">
      <c r="A24" s="20" t="s">
        <v>48</v>
      </c>
      <c r="B24" s="21">
        <v>1267943.75</v>
      </c>
      <c r="C24" s="22">
        <f t="shared" si="0"/>
        <v>1.4193583588321967E-2</v>
      </c>
      <c r="D24" s="21">
        <f>'00-BUDGET'!F$20*C24</f>
        <v>149839.40441270324</v>
      </c>
    </row>
    <row r="25" spans="1:4" ht="15" customHeight="1" x14ac:dyDescent="0.3">
      <c r="A25" s="20" t="s">
        <v>49</v>
      </c>
      <c r="B25" s="21">
        <v>2227743.5</v>
      </c>
      <c r="C25" s="22">
        <f t="shared" si="0"/>
        <v>2.4937749470819143E-2</v>
      </c>
      <c r="D25" s="21">
        <f>'00-BUDGET'!F$20*C25</f>
        <v>263263.85474455869</v>
      </c>
    </row>
    <row r="26" spans="1:4" ht="15" customHeight="1" x14ac:dyDescent="0.3">
      <c r="A26" s="20" t="s">
        <v>50</v>
      </c>
      <c r="B26" s="21">
        <v>1084313</v>
      </c>
      <c r="C26" s="22">
        <f t="shared" si="0"/>
        <v>1.2137988930032706E-2</v>
      </c>
      <c r="D26" s="21">
        <f>'00-BUDGET'!F$20*C26</f>
        <v>128138.81855322959</v>
      </c>
    </row>
    <row r="27" spans="1:4" ht="15" customHeight="1" x14ac:dyDescent="0.3">
      <c r="A27" s="20" t="s">
        <v>51</v>
      </c>
      <c r="B27" s="21">
        <v>680360</v>
      </c>
      <c r="C27" s="22">
        <f t="shared" si="0"/>
        <v>7.6160685599426107E-3</v>
      </c>
      <c r="D27" s="21">
        <f>'00-BUDGET'!F$20*C27</f>
        <v>80401.62443028469</v>
      </c>
    </row>
    <row r="28" spans="1:4" ht="15" customHeight="1" x14ac:dyDescent="0.3">
      <c r="A28" s="20" t="s">
        <v>52</v>
      </c>
      <c r="B28" s="21">
        <v>1105453.3999999999</v>
      </c>
      <c r="C28" s="22">
        <f t="shared" si="0"/>
        <v>1.2374638256543098E-2</v>
      </c>
      <c r="D28" s="21">
        <f>'00-BUDGET'!F$20*C28</f>
        <v>130637.0878534618</v>
      </c>
    </row>
    <row r="29" spans="1:4" ht="15" customHeight="1" x14ac:dyDescent="0.3">
      <c r="A29" s="24" t="s">
        <v>53</v>
      </c>
      <c r="B29" s="21">
        <v>3450322.61666667</v>
      </c>
      <c r="C29" s="22">
        <f t="shared" si="0"/>
        <v>3.8623513437671154E-2</v>
      </c>
      <c r="D29" s="21">
        <f>'00-BUDGET'!F$20*C29</f>
        <v>407742.28818353626</v>
      </c>
    </row>
    <row r="30" spans="1:4" ht="15" customHeight="1" x14ac:dyDescent="0.3">
      <c r="A30" s="24" t="s">
        <v>54</v>
      </c>
      <c r="B30" s="21">
        <v>2320213.48</v>
      </c>
      <c r="C30" s="22">
        <f t="shared" si="0"/>
        <v>2.5972874562559575E-2</v>
      </c>
      <c r="D30" s="21">
        <f>'00-BUDGET'!F$20*C30</f>
        <v>274191.50569851825</v>
      </c>
    </row>
    <row r="31" spans="1:4" ht="15" customHeight="1" x14ac:dyDescent="0.3">
      <c r="A31" s="20" t="s">
        <v>55</v>
      </c>
      <c r="B31" s="21">
        <v>362208</v>
      </c>
      <c r="C31" s="22">
        <f t="shared" si="0"/>
        <v>4.0546195557641445E-3</v>
      </c>
      <c r="D31" s="21">
        <f>'00-BUDGET'!F$20*C31</f>
        <v>42803.973751608799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4"/>
  <sheetViews>
    <sheetView topLeftCell="B1" zoomScale="90" zoomScaleNormal="90" workbookViewId="0">
      <selection activeCell="B1" sqref="B1"/>
    </sheetView>
  </sheetViews>
  <sheetFormatPr defaultColWidth="8.59765625" defaultRowHeight="15.6" x14ac:dyDescent="0.3"/>
  <cols>
    <col min="1" max="1" width="9.09765625" style="5" hidden="1" customWidth="1"/>
    <col min="2" max="2" width="11.19921875" style="5" customWidth="1"/>
    <col min="3" max="3" width="17.796875" style="5" customWidth="1"/>
    <col min="4" max="4" width="41.69921875" style="5" customWidth="1"/>
    <col min="5" max="5" width="35.59765625" style="5" customWidth="1"/>
    <col min="6" max="6" width="16.8984375" style="5" customWidth="1"/>
    <col min="7" max="7" width="16.8984375" style="5" hidden="1" customWidth="1"/>
    <col min="8" max="8" width="18" style="5" customWidth="1"/>
    <col min="9" max="9" width="18.296875" style="6" customWidth="1"/>
    <col min="10" max="10" width="16" style="5" customWidth="1"/>
    <col min="11" max="11" width="12.5" style="5" customWidth="1"/>
    <col min="12" max="12" width="13.09765625" style="6" customWidth="1"/>
    <col min="13" max="13" width="34.5" style="5" customWidth="1"/>
    <col min="14" max="14" width="39.296875" style="5" customWidth="1"/>
    <col min="15" max="15" width="32.19921875" style="5" customWidth="1"/>
  </cols>
  <sheetData>
    <row r="1" spans="1:15" ht="69.599999999999994" x14ac:dyDescent="0.3">
      <c r="A1" s="6" t="s">
        <v>58</v>
      </c>
      <c r="B1" s="19" t="s">
        <v>59</v>
      </c>
      <c r="C1" s="19" t="s">
        <v>22</v>
      </c>
      <c r="D1" s="19" t="s">
        <v>60</v>
      </c>
      <c r="E1" s="19" t="s">
        <v>61</v>
      </c>
      <c r="F1" s="25" t="s">
        <v>62</v>
      </c>
      <c r="G1" s="25"/>
      <c r="H1" s="25" t="s">
        <v>63</v>
      </c>
      <c r="I1" s="25" t="s">
        <v>64</v>
      </c>
      <c r="J1" s="25" t="s">
        <v>65</v>
      </c>
      <c r="K1" s="25" t="s">
        <v>66</v>
      </c>
      <c r="L1" s="25" t="s">
        <v>67</v>
      </c>
      <c r="M1" s="25" t="s">
        <v>68</v>
      </c>
      <c r="N1" s="19" t="s">
        <v>69</v>
      </c>
      <c r="O1" s="19" t="s">
        <v>70</v>
      </c>
    </row>
    <row r="2" spans="1:15" ht="75" x14ac:dyDescent="0.3">
      <c r="A2" s="5" t="str">
        <f t="shared" ref="A2:A65" si="0">CONCATENATE(D2,E2)</f>
        <v>AIAS-Ales8</v>
      </c>
      <c r="B2" s="26" t="s">
        <v>71</v>
      </c>
      <c r="C2" s="26" t="s">
        <v>29</v>
      </c>
      <c r="D2" s="26" t="s">
        <v>72</v>
      </c>
      <c r="E2" s="26">
        <v>8</v>
      </c>
      <c r="F2" s="8">
        <v>9.6021640241071501E-2</v>
      </c>
      <c r="G2" s="27" t="str">
        <f t="shared" ref="G2:G65" si="1">CONCATENATE(B2,E2)</f>
        <v>Oristano8</v>
      </c>
      <c r="H2" s="28">
        <f t="shared" ref="H2:H65" si="2">COUNTIF(G$2:G$398,G2)</f>
        <v>6</v>
      </c>
      <c r="I2" s="28">
        <f t="shared" ref="I2:I65" si="3">COUNTIF(E$2:E$398,E2)</f>
        <v>67</v>
      </c>
      <c r="J2" s="8">
        <f t="shared" ref="J2:J65" si="4">IF(1-(H2/I2)=0,1,1-(H2/I2))</f>
        <v>0.91044776119402981</v>
      </c>
      <c r="K2" s="8">
        <f t="shared" ref="K2:K65" si="5">AVERAGE(J2,F2)</f>
        <v>0.50323470071755061</v>
      </c>
      <c r="L2" s="29">
        <f t="shared" ref="L2:L65" si="6">K2/IF(E2=1,SUMIF(E$2:E$398,"=1",K$2:K$398),SUMIF(E$2:E$398,"&lt;&gt;1",K$2:K$398))</f>
        <v>3.1456252983479687E-3</v>
      </c>
      <c r="M2" s="30">
        <f>IF(E2=1,'00-BUDGET'!E$21*L2,'00-BUDGET'!F$21*L2)</f>
        <v>8301.9664885370112</v>
      </c>
      <c r="N2" s="8">
        <f>IF(E2=1,'00-BUDGET'!H$21*L2,'00-BUDGET'!I$21*L2)</f>
        <v>12452.94973280552</v>
      </c>
      <c r="O2" s="8">
        <f>IF(E2=1,'00-BUDGET'!K$21*L2,'00-BUDGET'!L$21*L2)</f>
        <v>16603.93297707403</v>
      </c>
    </row>
    <row r="3" spans="1:15" ht="75" x14ac:dyDescent="0.3">
      <c r="A3" s="5" t="str">
        <f t="shared" si="0"/>
        <v>AIAS-Ales9</v>
      </c>
      <c r="B3" s="26" t="s">
        <v>71</v>
      </c>
      <c r="C3" s="26" t="s">
        <v>29</v>
      </c>
      <c r="D3" s="26" t="s">
        <v>72</v>
      </c>
      <c r="E3" s="26">
        <v>9</v>
      </c>
      <c r="F3" s="8">
        <v>9.6021640241071501E-2</v>
      </c>
      <c r="G3" s="27" t="str">
        <f t="shared" si="1"/>
        <v>Oristano9</v>
      </c>
      <c r="H3" s="28">
        <f t="shared" si="2"/>
        <v>5</v>
      </c>
      <c r="I3" s="28">
        <f t="shared" si="3"/>
        <v>60</v>
      </c>
      <c r="J3" s="8">
        <f t="shared" si="4"/>
        <v>0.91666666666666663</v>
      </c>
      <c r="K3" s="8">
        <f t="shared" si="5"/>
        <v>0.50634415345386907</v>
      </c>
      <c r="L3" s="29">
        <f t="shared" si="6"/>
        <v>3.165061901542132E-3</v>
      </c>
      <c r="M3" s="30">
        <f>IF(E3=1,'00-BUDGET'!E$21*L3,'00-BUDGET'!F$21*L3)</f>
        <v>8353.2637706556652</v>
      </c>
      <c r="N3" s="8">
        <f>IF(E3=1,'00-BUDGET'!H$21*L3,'00-BUDGET'!I$21*L3)</f>
        <v>12529.895655983502</v>
      </c>
      <c r="O3" s="8">
        <f>IF(E3=1,'00-BUDGET'!K$21*L3,'00-BUDGET'!L$21*L3)</f>
        <v>16706.527541311341</v>
      </c>
    </row>
    <row r="4" spans="1:15" ht="75" x14ac:dyDescent="0.3">
      <c r="A4" s="5" t="str">
        <f t="shared" si="0"/>
        <v>AIAS-Ales10</v>
      </c>
      <c r="B4" s="26" t="s">
        <v>71</v>
      </c>
      <c r="C4" s="26" t="s">
        <v>29</v>
      </c>
      <c r="D4" s="26" t="s">
        <v>72</v>
      </c>
      <c r="E4" s="26">
        <v>10</v>
      </c>
      <c r="F4" s="8">
        <v>9.6021640241071501E-2</v>
      </c>
      <c r="G4" s="27" t="str">
        <f t="shared" si="1"/>
        <v>Oristano10</v>
      </c>
      <c r="H4" s="28">
        <f t="shared" si="2"/>
        <v>5</v>
      </c>
      <c r="I4" s="28">
        <f t="shared" si="3"/>
        <v>65</v>
      </c>
      <c r="J4" s="8">
        <f t="shared" si="4"/>
        <v>0.92307692307692313</v>
      </c>
      <c r="K4" s="8">
        <f t="shared" si="5"/>
        <v>0.50954928165899727</v>
      </c>
      <c r="L4" s="29">
        <f t="shared" si="6"/>
        <v>3.1850965540653467E-3</v>
      </c>
      <c r="M4" s="30">
        <f>IF(E4=1,'00-BUDGET'!E$21*L4,'00-BUDGET'!F$21*L4)</f>
        <v>8406.1394306856655</v>
      </c>
      <c r="N4" s="8">
        <f>IF(E4=1,'00-BUDGET'!H$21*L4,'00-BUDGET'!I$21*L4)</f>
        <v>12609.209146028501</v>
      </c>
      <c r="O4" s="8">
        <f>IF(E4=1,'00-BUDGET'!K$21*L4,'00-BUDGET'!L$21*L4)</f>
        <v>16812.278861371338</v>
      </c>
    </row>
    <row r="5" spans="1:15" ht="75" x14ac:dyDescent="0.3">
      <c r="A5" s="5" t="str">
        <f t="shared" si="0"/>
        <v>AIAS-Ales11</v>
      </c>
      <c r="B5" s="26" t="s">
        <v>71</v>
      </c>
      <c r="C5" s="26" t="s">
        <v>29</v>
      </c>
      <c r="D5" s="26" t="s">
        <v>72</v>
      </c>
      <c r="E5" s="26">
        <v>11</v>
      </c>
      <c r="F5" s="8">
        <v>9.6021640241071501E-2</v>
      </c>
      <c r="G5" s="27" t="str">
        <f t="shared" si="1"/>
        <v>Oristano11</v>
      </c>
      <c r="H5" s="28">
        <f t="shared" si="2"/>
        <v>4</v>
      </c>
      <c r="I5" s="28">
        <f t="shared" si="3"/>
        <v>56</v>
      </c>
      <c r="J5" s="8">
        <f t="shared" si="4"/>
        <v>0.9285714285714286</v>
      </c>
      <c r="K5" s="8">
        <f t="shared" si="5"/>
        <v>0.51229653440625</v>
      </c>
      <c r="L5" s="29">
        <f t="shared" si="6"/>
        <v>3.2022691133709587E-3</v>
      </c>
      <c r="M5" s="30">
        <f>IF(E5=1,'00-BUDGET'!E$21*L5,'00-BUDGET'!F$21*L5)</f>
        <v>8451.4614249970909</v>
      </c>
      <c r="N5" s="8">
        <f>IF(E5=1,'00-BUDGET'!H$21*L5,'00-BUDGET'!I$21*L5)</f>
        <v>12677.192137495642</v>
      </c>
      <c r="O5" s="8">
        <f>IF(E5=1,'00-BUDGET'!K$21*L5,'00-BUDGET'!L$21*L5)</f>
        <v>16902.922849994193</v>
      </c>
    </row>
    <row r="6" spans="1:15" ht="75" x14ac:dyDescent="0.3">
      <c r="A6" s="5" t="str">
        <f t="shared" si="0"/>
        <v>AIAS-Aritzo2</v>
      </c>
      <c r="B6" s="26" t="s">
        <v>73</v>
      </c>
      <c r="C6" s="26" t="s">
        <v>29</v>
      </c>
      <c r="D6" s="26" t="s">
        <v>74</v>
      </c>
      <c r="E6" s="26">
        <v>2</v>
      </c>
      <c r="F6" s="8">
        <v>9.2430262319887796E-2</v>
      </c>
      <c r="G6" s="27" t="str">
        <f t="shared" si="1"/>
        <v>Nuoro2</v>
      </c>
      <c r="H6" s="28">
        <f t="shared" si="2"/>
        <v>1</v>
      </c>
      <c r="I6" s="28">
        <f t="shared" si="3"/>
        <v>5</v>
      </c>
      <c r="J6" s="8">
        <f t="shared" si="4"/>
        <v>0.8</v>
      </c>
      <c r="K6" s="8">
        <f t="shared" si="5"/>
        <v>0.44621513115994393</v>
      </c>
      <c r="L6" s="29">
        <f t="shared" si="6"/>
        <v>2.7892067122576793E-3</v>
      </c>
      <c r="M6" s="30">
        <f>IF(E6=1,'00-BUDGET'!E$21*L6,'00-BUDGET'!F$21*L6)</f>
        <v>7361.3029075417371</v>
      </c>
      <c r="N6" s="8">
        <f>IF(E6=1,'00-BUDGET'!H$21*L6,'00-BUDGET'!I$21*L6)</f>
        <v>11041.95436131261</v>
      </c>
      <c r="O6" s="8">
        <f>IF(E6=1,'00-BUDGET'!K$21*L6,'00-BUDGET'!L$21*L6)</f>
        <v>14722.605815083482</v>
      </c>
    </row>
    <row r="7" spans="1:15" ht="75" x14ac:dyDescent="0.3">
      <c r="A7" s="5" t="str">
        <f t="shared" si="0"/>
        <v>AIAS-Aritzo3</v>
      </c>
      <c r="B7" s="26" t="s">
        <v>73</v>
      </c>
      <c r="C7" s="26" t="s">
        <v>29</v>
      </c>
      <c r="D7" s="26" t="s">
        <v>74</v>
      </c>
      <c r="E7" s="26">
        <v>3</v>
      </c>
      <c r="F7" s="8">
        <v>9.2430262319887796E-2</v>
      </c>
      <c r="G7" s="27" t="str">
        <f t="shared" si="1"/>
        <v>Nuoro3</v>
      </c>
      <c r="H7" s="28">
        <f t="shared" si="2"/>
        <v>1</v>
      </c>
      <c r="I7" s="28">
        <f t="shared" si="3"/>
        <v>10</v>
      </c>
      <c r="J7" s="8">
        <f t="shared" si="4"/>
        <v>0.9</v>
      </c>
      <c r="K7" s="8">
        <f t="shared" si="5"/>
        <v>0.49621513115994392</v>
      </c>
      <c r="L7" s="29">
        <f t="shared" si="6"/>
        <v>3.1017472916198235E-3</v>
      </c>
      <c r="M7" s="30">
        <f>IF(E7=1,'00-BUDGET'!E$21*L7,'00-BUDGET'!F$21*L7)</f>
        <v>8186.1632040097102</v>
      </c>
      <c r="N7" s="8">
        <f>IF(E7=1,'00-BUDGET'!H$21*L7,'00-BUDGET'!I$21*L7)</f>
        <v>12279.244806014571</v>
      </c>
      <c r="O7" s="8">
        <f>IF(E7=1,'00-BUDGET'!K$21*L7,'00-BUDGET'!L$21*L7)</f>
        <v>16372.326408019429</v>
      </c>
    </row>
    <row r="8" spans="1:15" ht="75" x14ac:dyDescent="0.3">
      <c r="A8" s="5" t="str">
        <f t="shared" si="0"/>
        <v>AIAS-Aritzo4</v>
      </c>
      <c r="B8" s="26" t="s">
        <v>73</v>
      </c>
      <c r="C8" s="26" t="s">
        <v>29</v>
      </c>
      <c r="D8" s="26" t="s">
        <v>74</v>
      </c>
      <c r="E8" s="26">
        <v>4</v>
      </c>
      <c r="F8" s="8">
        <v>9.2430262319887796E-2</v>
      </c>
      <c r="G8" s="27" t="str">
        <f t="shared" si="1"/>
        <v>Nuoro4</v>
      </c>
      <c r="H8" s="28">
        <f t="shared" si="2"/>
        <v>1</v>
      </c>
      <c r="I8" s="28">
        <f t="shared" si="3"/>
        <v>6</v>
      </c>
      <c r="J8" s="8">
        <f t="shared" si="4"/>
        <v>0.83333333333333337</v>
      </c>
      <c r="K8" s="8">
        <f t="shared" si="5"/>
        <v>0.4628817978266106</v>
      </c>
      <c r="L8" s="29">
        <f t="shared" si="6"/>
        <v>2.8933869053783942E-3</v>
      </c>
      <c r="M8" s="30">
        <f>IF(E8=1,'00-BUDGET'!E$21*L8,'00-BUDGET'!F$21*L8)</f>
        <v>7636.2563396977284</v>
      </c>
      <c r="N8" s="8">
        <f>IF(E8=1,'00-BUDGET'!H$21*L8,'00-BUDGET'!I$21*L8)</f>
        <v>11454.384509546597</v>
      </c>
      <c r="O8" s="8">
        <f>IF(E8=1,'00-BUDGET'!K$21*L8,'00-BUDGET'!L$21*L8)</f>
        <v>15272.512679395464</v>
      </c>
    </row>
    <row r="9" spans="1:15" ht="75" x14ac:dyDescent="0.3">
      <c r="A9" s="5" t="str">
        <f t="shared" si="0"/>
        <v>AIAS-Aritzo5</v>
      </c>
      <c r="B9" s="26" t="s">
        <v>73</v>
      </c>
      <c r="C9" s="26" t="s">
        <v>29</v>
      </c>
      <c r="D9" s="26" t="s">
        <v>74</v>
      </c>
      <c r="E9" s="26">
        <v>5</v>
      </c>
      <c r="F9" s="8">
        <v>9.2430262319887796E-2</v>
      </c>
      <c r="G9" s="27" t="str">
        <f t="shared" si="1"/>
        <v>Nuoro5</v>
      </c>
      <c r="H9" s="28">
        <f t="shared" si="2"/>
        <v>3</v>
      </c>
      <c r="I9" s="28">
        <f t="shared" si="3"/>
        <v>23</v>
      </c>
      <c r="J9" s="8">
        <f t="shared" si="4"/>
        <v>0.86956521739130432</v>
      </c>
      <c r="K9" s="8">
        <f t="shared" si="5"/>
        <v>0.48099773985559607</v>
      </c>
      <c r="L9" s="29">
        <f t="shared" si="6"/>
        <v>3.006626245726997E-3</v>
      </c>
      <c r="M9" s="30">
        <f>IF(E9=1,'00-BUDGET'!E$21*L9,'00-BUDGET'!F$21*L9)</f>
        <v>7935.1187659542402</v>
      </c>
      <c r="N9" s="8">
        <f>IF(E9=1,'00-BUDGET'!H$21*L9,'00-BUDGET'!I$21*L9)</f>
        <v>11902.678148931365</v>
      </c>
      <c r="O9" s="8">
        <f>IF(E9=1,'00-BUDGET'!K$21*L9,'00-BUDGET'!L$21*L9)</f>
        <v>15870.237531908489</v>
      </c>
    </row>
    <row r="10" spans="1:15" ht="75" x14ac:dyDescent="0.3">
      <c r="A10" s="5" t="str">
        <f t="shared" si="0"/>
        <v>AIAS-Aritzo6</v>
      </c>
      <c r="B10" s="26" t="s">
        <v>73</v>
      </c>
      <c r="C10" s="26" t="s">
        <v>29</v>
      </c>
      <c r="D10" s="26" t="s">
        <v>74</v>
      </c>
      <c r="E10" s="26">
        <v>6</v>
      </c>
      <c r="F10" s="8">
        <v>9.2430262319887796E-2</v>
      </c>
      <c r="G10" s="27" t="str">
        <f t="shared" si="1"/>
        <v>Nuoro6</v>
      </c>
      <c r="H10" s="28">
        <f t="shared" si="2"/>
        <v>1</v>
      </c>
      <c r="I10" s="28">
        <f t="shared" si="3"/>
        <v>5</v>
      </c>
      <c r="J10" s="8">
        <f t="shared" si="4"/>
        <v>0.8</v>
      </c>
      <c r="K10" s="8">
        <f t="shared" si="5"/>
        <v>0.44621513115994393</v>
      </c>
      <c r="L10" s="29">
        <f t="shared" si="6"/>
        <v>2.7892067122576793E-3</v>
      </c>
      <c r="M10" s="30">
        <f>IF(E10=1,'00-BUDGET'!E$21*L10,'00-BUDGET'!F$21*L10)</f>
        <v>7361.3029075417371</v>
      </c>
      <c r="N10" s="8">
        <f>IF(E10=1,'00-BUDGET'!H$21*L10,'00-BUDGET'!I$21*L10)</f>
        <v>11041.95436131261</v>
      </c>
      <c r="O10" s="8">
        <f>IF(E10=1,'00-BUDGET'!K$21*L10,'00-BUDGET'!L$21*L10)</f>
        <v>14722.605815083482</v>
      </c>
    </row>
    <row r="11" spans="1:15" ht="75" x14ac:dyDescent="0.3">
      <c r="A11" s="5" t="str">
        <f t="shared" si="0"/>
        <v>AIAS-Aritzo7</v>
      </c>
      <c r="B11" s="26" t="s">
        <v>73</v>
      </c>
      <c r="C11" s="26" t="s">
        <v>29</v>
      </c>
      <c r="D11" s="26" t="s">
        <v>74</v>
      </c>
      <c r="E11" s="26">
        <v>7</v>
      </c>
      <c r="F11" s="8">
        <v>9.2430262319887796E-2</v>
      </c>
      <c r="G11" s="27" t="str">
        <f t="shared" si="1"/>
        <v>Nuoro7</v>
      </c>
      <c r="H11" s="28">
        <f t="shared" si="2"/>
        <v>1</v>
      </c>
      <c r="I11" s="28">
        <f t="shared" si="3"/>
        <v>32</v>
      </c>
      <c r="J11" s="8">
        <f t="shared" si="4"/>
        <v>0.96875</v>
      </c>
      <c r="K11" s="8">
        <f t="shared" si="5"/>
        <v>0.53059013115994391</v>
      </c>
      <c r="L11" s="29">
        <f t="shared" si="6"/>
        <v>3.3166189399312972E-3</v>
      </c>
      <c r="M11" s="30">
        <f>IF(E11=1,'00-BUDGET'!E$21*L11,'00-BUDGET'!F$21*L11)</f>
        <v>8753.2546578314414</v>
      </c>
      <c r="N11" s="8">
        <f>IF(E11=1,'00-BUDGET'!H$21*L11,'00-BUDGET'!I$21*L11)</f>
        <v>13129.881986747167</v>
      </c>
      <c r="O11" s="8">
        <f>IF(E11=1,'00-BUDGET'!K$21*L11,'00-BUDGET'!L$21*L11)</f>
        <v>17506.50931566289</v>
      </c>
    </row>
    <row r="12" spans="1:15" ht="75" x14ac:dyDescent="0.3">
      <c r="A12" s="5" t="str">
        <f t="shared" si="0"/>
        <v>AIAS-Aritzo8</v>
      </c>
      <c r="B12" s="26" t="s">
        <v>73</v>
      </c>
      <c r="C12" s="26" t="s">
        <v>29</v>
      </c>
      <c r="D12" s="26" t="s">
        <v>74</v>
      </c>
      <c r="E12" s="26">
        <v>8</v>
      </c>
      <c r="F12" s="8">
        <v>9.2430262319887796E-2</v>
      </c>
      <c r="G12" s="27" t="str">
        <f t="shared" si="1"/>
        <v>Nuoro8</v>
      </c>
      <c r="H12" s="28">
        <f t="shared" si="2"/>
        <v>4</v>
      </c>
      <c r="I12" s="28">
        <f t="shared" si="3"/>
        <v>67</v>
      </c>
      <c r="J12" s="8">
        <f t="shared" si="4"/>
        <v>0.94029850746268662</v>
      </c>
      <c r="K12" s="8">
        <f t="shared" si="5"/>
        <v>0.51636438489128722</v>
      </c>
      <c r="L12" s="29">
        <f t="shared" si="6"/>
        <v>3.227696480318001E-3</v>
      </c>
      <c r="M12" s="30">
        <f>IF(E12=1,'00-BUDGET'!E$21*L12,'00-BUDGET'!F$21*L12)</f>
        <v>8518.5695921385959</v>
      </c>
      <c r="N12" s="8">
        <f>IF(E12=1,'00-BUDGET'!H$21*L12,'00-BUDGET'!I$21*L12)</f>
        <v>12777.854388207898</v>
      </c>
      <c r="O12" s="8">
        <f>IF(E12=1,'00-BUDGET'!K$21*L12,'00-BUDGET'!L$21*L12)</f>
        <v>17037.139184277199</v>
      </c>
    </row>
    <row r="13" spans="1:15" ht="75" x14ac:dyDescent="0.3">
      <c r="A13" s="5" t="str">
        <f t="shared" si="0"/>
        <v>AIAS-Aritzo9</v>
      </c>
      <c r="B13" s="26" t="s">
        <v>73</v>
      </c>
      <c r="C13" s="26" t="s">
        <v>29</v>
      </c>
      <c r="D13" s="26" t="s">
        <v>74</v>
      </c>
      <c r="E13" s="26">
        <v>9</v>
      </c>
      <c r="F13" s="8">
        <v>9.2430262319887796E-2</v>
      </c>
      <c r="G13" s="27" t="str">
        <f t="shared" si="1"/>
        <v>Nuoro9</v>
      </c>
      <c r="H13" s="28">
        <f t="shared" si="2"/>
        <v>4</v>
      </c>
      <c r="I13" s="28">
        <f t="shared" si="3"/>
        <v>60</v>
      </c>
      <c r="J13" s="8">
        <f t="shared" si="4"/>
        <v>0.93333333333333335</v>
      </c>
      <c r="K13" s="8">
        <f t="shared" si="5"/>
        <v>0.51288179782661059</v>
      </c>
      <c r="L13" s="29">
        <f t="shared" si="6"/>
        <v>3.205927484740538E-3</v>
      </c>
      <c r="M13" s="30">
        <f>IF(E13=1,'00-BUDGET'!E$21*L13,'00-BUDGET'!F$21*L13)</f>
        <v>8461.1166361657015</v>
      </c>
      <c r="N13" s="8">
        <f>IF(E13=1,'00-BUDGET'!H$21*L13,'00-BUDGET'!I$21*L13)</f>
        <v>12691.674954248556</v>
      </c>
      <c r="O13" s="8">
        <f>IF(E13=1,'00-BUDGET'!K$21*L13,'00-BUDGET'!L$21*L13)</f>
        <v>16922.23327233141</v>
      </c>
    </row>
    <row r="14" spans="1:15" ht="75" x14ac:dyDescent="0.3">
      <c r="A14" s="5" t="str">
        <f t="shared" si="0"/>
        <v>AIAS-Aritzo10</v>
      </c>
      <c r="B14" s="26" t="s">
        <v>73</v>
      </c>
      <c r="C14" s="26" t="s">
        <v>29</v>
      </c>
      <c r="D14" s="26" t="s">
        <v>74</v>
      </c>
      <c r="E14" s="26">
        <v>10</v>
      </c>
      <c r="F14" s="8">
        <v>9.2430262319887796E-2</v>
      </c>
      <c r="G14" s="27" t="str">
        <f t="shared" si="1"/>
        <v>Nuoro10</v>
      </c>
      <c r="H14" s="28">
        <f t="shared" si="2"/>
        <v>4</v>
      </c>
      <c r="I14" s="28">
        <f t="shared" si="3"/>
        <v>65</v>
      </c>
      <c r="J14" s="8">
        <f t="shared" si="4"/>
        <v>0.93846153846153846</v>
      </c>
      <c r="K14" s="8">
        <f t="shared" si="5"/>
        <v>0.51544590039071314</v>
      </c>
      <c r="L14" s="29">
        <f t="shared" si="6"/>
        <v>3.2219552067591093E-3</v>
      </c>
      <c r="M14" s="30">
        <f>IF(E14=1,'00-BUDGET'!E$21*L14,'00-BUDGET'!F$21*L14)</f>
        <v>8503.4171641896992</v>
      </c>
      <c r="N14" s="8">
        <f>IF(E14=1,'00-BUDGET'!H$21*L14,'00-BUDGET'!I$21*L14)</f>
        <v>12755.125746284553</v>
      </c>
      <c r="O14" s="8">
        <f>IF(E14=1,'00-BUDGET'!K$21*L14,'00-BUDGET'!L$21*L14)</f>
        <v>17006.834328379406</v>
      </c>
    </row>
    <row r="15" spans="1:15" ht="75" x14ac:dyDescent="0.3">
      <c r="A15" s="5" t="str">
        <f t="shared" si="0"/>
        <v>AIAS-Aritzo11</v>
      </c>
      <c r="B15" s="26" t="s">
        <v>73</v>
      </c>
      <c r="C15" s="26" t="s">
        <v>29</v>
      </c>
      <c r="D15" s="26" t="s">
        <v>74</v>
      </c>
      <c r="E15" s="26">
        <v>11</v>
      </c>
      <c r="F15" s="8">
        <v>9.2430262319887796E-2</v>
      </c>
      <c r="G15" s="27" t="str">
        <f t="shared" si="1"/>
        <v>Nuoro11</v>
      </c>
      <c r="H15" s="28">
        <f t="shared" si="2"/>
        <v>4</v>
      </c>
      <c r="I15" s="28">
        <f t="shared" si="3"/>
        <v>56</v>
      </c>
      <c r="J15" s="8">
        <f t="shared" si="4"/>
        <v>0.9285714285714286</v>
      </c>
      <c r="K15" s="8">
        <f t="shared" si="5"/>
        <v>0.51050084544565821</v>
      </c>
      <c r="L15" s="29">
        <f t="shared" si="6"/>
        <v>3.1910446000090074E-3</v>
      </c>
      <c r="M15" s="30">
        <f>IF(E15=1,'00-BUDGET'!E$21*L15,'00-BUDGET'!F$21*L15)</f>
        <v>8421.8375744291316</v>
      </c>
      <c r="N15" s="8">
        <f>IF(E15=1,'00-BUDGET'!H$21*L15,'00-BUDGET'!I$21*L15)</f>
        <v>12632.7563616437</v>
      </c>
      <c r="O15" s="8">
        <f>IF(E15=1,'00-BUDGET'!K$21*L15,'00-BUDGET'!L$21*L15)</f>
        <v>16843.67514885827</v>
      </c>
    </row>
    <row r="16" spans="1:15" ht="75" x14ac:dyDescent="0.3">
      <c r="A16" s="5" t="str">
        <f t="shared" si="0"/>
        <v>AIAS-Arzana3</v>
      </c>
      <c r="B16" s="26" t="s">
        <v>75</v>
      </c>
      <c r="C16" s="26" t="s">
        <v>29</v>
      </c>
      <c r="D16" s="26" t="s">
        <v>76</v>
      </c>
      <c r="E16" s="26">
        <v>3</v>
      </c>
      <c r="F16" s="8">
        <v>3.4539845648234001E-2</v>
      </c>
      <c r="G16" s="27" t="str">
        <f t="shared" si="1"/>
        <v>Ogliastra3</v>
      </c>
      <c r="H16" s="28">
        <f t="shared" si="2"/>
        <v>1</v>
      </c>
      <c r="I16" s="28">
        <f t="shared" si="3"/>
        <v>10</v>
      </c>
      <c r="J16" s="8">
        <f t="shared" si="4"/>
        <v>0.9</v>
      </c>
      <c r="K16" s="8">
        <f t="shared" si="5"/>
        <v>0.467269922824117</v>
      </c>
      <c r="L16" s="29">
        <f t="shared" si="6"/>
        <v>2.9208162479590774E-3</v>
      </c>
      <c r="M16" s="30">
        <f>IF(E16=1,'00-BUDGET'!E$21*L16,'00-BUDGET'!F$21*L16)</f>
        <v>7708.6481414253622</v>
      </c>
      <c r="N16" s="8">
        <f>IF(E16=1,'00-BUDGET'!H$21*L16,'00-BUDGET'!I$21*L16)</f>
        <v>11562.972212138047</v>
      </c>
      <c r="O16" s="8">
        <f>IF(E16=1,'00-BUDGET'!K$21*L16,'00-BUDGET'!L$21*L16)</f>
        <v>15417.296282850732</v>
      </c>
    </row>
    <row r="17" spans="1:15" ht="75" x14ac:dyDescent="0.3">
      <c r="A17" s="5" t="str">
        <f t="shared" si="0"/>
        <v>AIAS-Arzana8</v>
      </c>
      <c r="B17" s="26" t="s">
        <v>75</v>
      </c>
      <c r="C17" s="26" t="s">
        <v>29</v>
      </c>
      <c r="D17" s="26" t="s">
        <v>76</v>
      </c>
      <c r="E17" s="26">
        <v>8</v>
      </c>
      <c r="F17" s="8">
        <v>3.4539845648234001E-2</v>
      </c>
      <c r="G17" s="27" t="str">
        <f t="shared" si="1"/>
        <v>Ogliastra8</v>
      </c>
      <c r="H17" s="28">
        <f t="shared" si="2"/>
        <v>4</v>
      </c>
      <c r="I17" s="28">
        <f t="shared" si="3"/>
        <v>67</v>
      </c>
      <c r="J17" s="8">
        <f t="shared" si="4"/>
        <v>0.94029850746268662</v>
      </c>
      <c r="K17" s="8">
        <f t="shared" si="5"/>
        <v>0.4874191765554603</v>
      </c>
      <c r="L17" s="29">
        <f t="shared" si="6"/>
        <v>3.0467654366572549E-3</v>
      </c>
      <c r="M17" s="30">
        <f>IF(E17=1,'00-BUDGET'!E$21*L17,'00-BUDGET'!F$21*L17)</f>
        <v>8041.054529554247</v>
      </c>
      <c r="N17" s="8">
        <f>IF(E17=1,'00-BUDGET'!H$21*L17,'00-BUDGET'!I$21*L17)</f>
        <v>12061.581794331374</v>
      </c>
      <c r="O17" s="8">
        <f>IF(E17=1,'00-BUDGET'!K$21*L17,'00-BUDGET'!L$21*L17)</f>
        <v>16082.109059108501</v>
      </c>
    </row>
    <row r="18" spans="1:15" ht="75" x14ac:dyDescent="0.3">
      <c r="A18" s="5" t="str">
        <f t="shared" si="0"/>
        <v>AIAS-Arzana9</v>
      </c>
      <c r="B18" s="26" t="s">
        <v>75</v>
      </c>
      <c r="C18" s="26" t="s">
        <v>29</v>
      </c>
      <c r="D18" s="26" t="s">
        <v>76</v>
      </c>
      <c r="E18" s="26">
        <v>9</v>
      </c>
      <c r="F18" s="8">
        <v>3.4539845648234001E-2</v>
      </c>
      <c r="G18" s="27" t="str">
        <f t="shared" si="1"/>
        <v>Ogliastra9</v>
      </c>
      <c r="H18" s="28">
        <f t="shared" si="2"/>
        <v>4</v>
      </c>
      <c r="I18" s="28">
        <f t="shared" si="3"/>
        <v>60</v>
      </c>
      <c r="J18" s="8">
        <f t="shared" si="4"/>
        <v>0.93333333333333335</v>
      </c>
      <c r="K18" s="8">
        <f t="shared" si="5"/>
        <v>0.48393658949078366</v>
      </c>
      <c r="L18" s="29">
        <f t="shared" si="6"/>
        <v>3.0249964410797919E-3</v>
      </c>
      <c r="M18" s="30">
        <f>IF(E18=1,'00-BUDGET'!E$21*L18,'00-BUDGET'!F$21*L18)</f>
        <v>7983.6015735813526</v>
      </c>
      <c r="N18" s="8">
        <f>IF(E18=1,'00-BUDGET'!H$21*L18,'00-BUDGET'!I$21*L18)</f>
        <v>11975.402360372032</v>
      </c>
      <c r="O18" s="8">
        <f>IF(E18=1,'00-BUDGET'!K$21*L18,'00-BUDGET'!L$21*L18)</f>
        <v>15967.203147162712</v>
      </c>
    </row>
    <row r="19" spans="1:15" ht="75" x14ac:dyDescent="0.3">
      <c r="A19" s="5" t="str">
        <f t="shared" si="0"/>
        <v>AIAS-Arzana10</v>
      </c>
      <c r="B19" s="26" t="s">
        <v>75</v>
      </c>
      <c r="C19" s="26" t="s">
        <v>29</v>
      </c>
      <c r="D19" s="26" t="s">
        <v>76</v>
      </c>
      <c r="E19" s="26">
        <v>10</v>
      </c>
      <c r="F19" s="8">
        <v>3.4539845648234001E-2</v>
      </c>
      <c r="G19" s="27" t="str">
        <f t="shared" si="1"/>
        <v>Ogliastra10</v>
      </c>
      <c r="H19" s="28">
        <f t="shared" si="2"/>
        <v>4</v>
      </c>
      <c r="I19" s="28">
        <f t="shared" si="3"/>
        <v>65</v>
      </c>
      <c r="J19" s="8">
        <f t="shared" si="4"/>
        <v>0.93846153846153846</v>
      </c>
      <c r="K19" s="8">
        <f t="shared" si="5"/>
        <v>0.48650069205488622</v>
      </c>
      <c r="L19" s="29">
        <f t="shared" si="6"/>
        <v>3.0410241630983632E-3</v>
      </c>
      <c r="M19" s="30">
        <f>IF(E19=1,'00-BUDGET'!E$21*L19,'00-BUDGET'!F$21*L19)</f>
        <v>8025.9021016053503</v>
      </c>
      <c r="N19" s="8">
        <f>IF(E19=1,'00-BUDGET'!H$21*L19,'00-BUDGET'!I$21*L19)</f>
        <v>12038.85315240803</v>
      </c>
      <c r="O19" s="8">
        <f>IF(E19=1,'00-BUDGET'!K$21*L19,'00-BUDGET'!L$21*L19)</f>
        <v>16051.80420321071</v>
      </c>
    </row>
    <row r="20" spans="1:15" ht="75" x14ac:dyDescent="0.3">
      <c r="A20" s="5" t="str">
        <f t="shared" si="0"/>
        <v>AIAS-Arzana11</v>
      </c>
      <c r="B20" s="26" t="s">
        <v>75</v>
      </c>
      <c r="C20" s="26" t="s">
        <v>29</v>
      </c>
      <c r="D20" s="26" t="s">
        <v>76</v>
      </c>
      <c r="E20" s="26">
        <v>11</v>
      </c>
      <c r="F20" s="8">
        <v>3.4539845648234001E-2</v>
      </c>
      <c r="G20" s="27" t="str">
        <f t="shared" si="1"/>
        <v>Ogliastra11</v>
      </c>
      <c r="H20" s="28">
        <f t="shared" si="2"/>
        <v>4</v>
      </c>
      <c r="I20" s="28">
        <f t="shared" si="3"/>
        <v>56</v>
      </c>
      <c r="J20" s="8">
        <f t="shared" si="4"/>
        <v>0.9285714285714286</v>
      </c>
      <c r="K20" s="8">
        <f t="shared" si="5"/>
        <v>0.48155563710983129</v>
      </c>
      <c r="L20" s="29">
        <f t="shared" si="6"/>
        <v>3.0101135563482613E-3</v>
      </c>
      <c r="M20" s="30">
        <f>IF(E20=1,'00-BUDGET'!E$21*L20,'00-BUDGET'!F$21*L20)</f>
        <v>7944.3225118447826</v>
      </c>
      <c r="N20" s="8">
        <f>IF(E20=1,'00-BUDGET'!H$21*L20,'00-BUDGET'!I$21*L20)</f>
        <v>11916.483767767179</v>
      </c>
      <c r="O20" s="8">
        <f>IF(E20=1,'00-BUDGET'!K$21*L20,'00-BUDGET'!L$21*L20)</f>
        <v>15888.645023689573</v>
      </c>
    </row>
    <row r="21" spans="1:15" ht="75" x14ac:dyDescent="0.3">
      <c r="A21" s="5" t="str">
        <f t="shared" si="0"/>
        <v>AIAS-Assemini8</v>
      </c>
      <c r="B21" s="26" t="s">
        <v>77</v>
      </c>
      <c r="C21" s="26" t="s">
        <v>29</v>
      </c>
      <c r="D21" s="26" t="s">
        <v>78</v>
      </c>
      <c r="E21" s="26">
        <v>8</v>
      </c>
      <c r="F21" s="8">
        <v>0.34343362439390401</v>
      </c>
      <c r="G21" s="27" t="str">
        <f t="shared" si="1"/>
        <v>Cagliari8</v>
      </c>
      <c r="H21" s="28">
        <f t="shared" si="2"/>
        <v>26</v>
      </c>
      <c r="I21" s="28">
        <f t="shared" si="3"/>
        <v>67</v>
      </c>
      <c r="J21" s="8">
        <f t="shared" si="4"/>
        <v>0.61194029850746268</v>
      </c>
      <c r="K21" s="8">
        <f t="shared" si="5"/>
        <v>0.47768696145068335</v>
      </c>
      <c r="L21" s="29">
        <f t="shared" si="6"/>
        <v>2.9859311937107747E-3</v>
      </c>
      <c r="M21" s="30">
        <f>IF(E21=1,'00-BUDGET'!E$21*L21,'00-BUDGET'!F$21*L21)</f>
        <v>7880.5001728219177</v>
      </c>
      <c r="N21" s="8">
        <f>IF(E21=1,'00-BUDGET'!H$21*L21,'00-BUDGET'!I$21*L21)</f>
        <v>11820.75025923288</v>
      </c>
      <c r="O21" s="8">
        <f>IF(E21=1,'00-BUDGET'!K$21*L21,'00-BUDGET'!L$21*L21)</f>
        <v>15761.000345643844</v>
      </c>
    </row>
    <row r="22" spans="1:15" ht="75" x14ac:dyDescent="0.3">
      <c r="A22" s="5" t="str">
        <f t="shared" si="0"/>
        <v>AIAS-Assemini9</v>
      </c>
      <c r="B22" s="26" t="s">
        <v>77</v>
      </c>
      <c r="C22" s="26" t="s">
        <v>29</v>
      </c>
      <c r="D22" s="26" t="s">
        <v>78</v>
      </c>
      <c r="E22" s="26">
        <v>9</v>
      </c>
      <c r="F22" s="8">
        <v>0.34343362439390401</v>
      </c>
      <c r="G22" s="27" t="str">
        <f t="shared" si="1"/>
        <v>Cagliari9</v>
      </c>
      <c r="H22" s="28">
        <f t="shared" si="2"/>
        <v>22</v>
      </c>
      <c r="I22" s="28">
        <f t="shared" si="3"/>
        <v>60</v>
      </c>
      <c r="J22" s="8">
        <f t="shared" si="4"/>
        <v>0.6333333333333333</v>
      </c>
      <c r="K22" s="8">
        <f t="shared" si="5"/>
        <v>0.48838347886361866</v>
      </c>
      <c r="L22" s="29">
        <f t="shared" si="6"/>
        <v>3.0527931086986961E-3</v>
      </c>
      <c r="M22" s="30">
        <f>IF(E22=1,'00-BUDGET'!E$21*L22,'00-BUDGET'!F$21*L22)</f>
        <v>8056.9628233100912</v>
      </c>
      <c r="N22" s="8">
        <f>IF(E22=1,'00-BUDGET'!H$21*L22,'00-BUDGET'!I$21*L22)</f>
        <v>12085.444234965142</v>
      </c>
      <c r="O22" s="8">
        <f>IF(E22=1,'00-BUDGET'!K$21*L22,'00-BUDGET'!L$21*L22)</f>
        <v>16113.925646620191</v>
      </c>
    </row>
    <row r="23" spans="1:15" ht="75" x14ac:dyDescent="0.3">
      <c r="A23" s="5" t="str">
        <f t="shared" si="0"/>
        <v>AIAS-Assemini10</v>
      </c>
      <c r="B23" s="26" t="s">
        <v>77</v>
      </c>
      <c r="C23" s="26" t="s">
        <v>29</v>
      </c>
      <c r="D23" s="26" t="s">
        <v>78</v>
      </c>
      <c r="E23" s="26">
        <v>10</v>
      </c>
      <c r="F23" s="8">
        <v>0.34343362439390401</v>
      </c>
      <c r="G23" s="27" t="str">
        <f t="shared" si="1"/>
        <v>Cagliari10</v>
      </c>
      <c r="H23" s="28">
        <f t="shared" si="2"/>
        <v>26</v>
      </c>
      <c r="I23" s="28">
        <f t="shared" si="3"/>
        <v>65</v>
      </c>
      <c r="J23" s="8">
        <f t="shared" si="4"/>
        <v>0.6</v>
      </c>
      <c r="K23" s="8">
        <f t="shared" si="5"/>
        <v>0.471716812196952</v>
      </c>
      <c r="L23" s="29">
        <f t="shared" si="6"/>
        <v>2.9486129155779812E-3</v>
      </c>
      <c r="M23" s="30">
        <f>IF(E23=1,'00-BUDGET'!E$21*L23,'00-BUDGET'!F$21*L23)</f>
        <v>7782.0093911540998</v>
      </c>
      <c r="N23" s="8">
        <f>IF(E23=1,'00-BUDGET'!H$21*L23,'00-BUDGET'!I$21*L23)</f>
        <v>11673.014086731153</v>
      </c>
      <c r="O23" s="8">
        <f>IF(E23=1,'00-BUDGET'!K$21*L23,'00-BUDGET'!L$21*L23)</f>
        <v>15564.018782308207</v>
      </c>
    </row>
    <row r="24" spans="1:15" ht="75" x14ac:dyDescent="0.3">
      <c r="A24" s="5" t="str">
        <f t="shared" si="0"/>
        <v>AIAS-Assemini11</v>
      </c>
      <c r="B24" s="26" t="s">
        <v>77</v>
      </c>
      <c r="C24" s="26" t="s">
        <v>29</v>
      </c>
      <c r="D24" s="26" t="s">
        <v>78</v>
      </c>
      <c r="E24" s="26">
        <v>11</v>
      </c>
      <c r="F24" s="8">
        <v>0.34343362439390401</v>
      </c>
      <c r="G24" s="27" t="str">
        <f t="shared" si="1"/>
        <v>Cagliari11</v>
      </c>
      <c r="H24" s="28">
        <f t="shared" si="2"/>
        <v>19</v>
      </c>
      <c r="I24" s="28">
        <f t="shared" si="3"/>
        <v>56</v>
      </c>
      <c r="J24" s="8">
        <f t="shared" si="4"/>
        <v>0.6607142857142857</v>
      </c>
      <c r="K24" s="8">
        <f t="shared" si="5"/>
        <v>0.50207395505409491</v>
      </c>
      <c r="L24" s="29">
        <f t="shared" si="6"/>
        <v>3.1383696959049979E-3</v>
      </c>
      <c r="M24" s="30">
        <f>IF(E24=1,'00-BUDGET'!E$21*L24,'00-BUDGET'!F$21*L24)</f>
        <v>8282.8174282953714</v>
      </c>
      <c r="N24" s="8">
        <f>IF(E24=1,'00-BUDGET'!H$21*L24,'00-BUDGET'!I$21*L24)</f>
        <v>12424.22614244306</v>
      </c>
      <c r="O24" s="8">
        <f>IF(E24=1,'00-BUDGET'!K$21*L24,'00-BUDGET'!L$21*L24)</f>
        <v>16565.63485659075</v>
      </c>
    </row>
    <row r="25" spans="1:15" ht="75" x14ac:dyDescent="0.3">
      <c r="A25" s="5" t="str">
        <f t="shared" si="0"/>
        <v>AIAS-Berchidda7</v>
      </c>
      <c r="B25" s="26" t="s">
        <v>79</v>
      </c>
      <c r="C25" s="26" t="s">
        <v>29</v>
      </c>
      <c r="D25" s="26" t="s">
        <v>80</v>
      </c>
      <c r="E25" s="26">
        <v>7</v>
      </c>
      <c r="F25" s="8">
        <v>9.9672234005895102E-2</v>
      </c>
      <c r="G25" s="27" t="str">
        <f t="shared" si="1"/>
        <v>Gallura7</v>
      </c>
      <c r="H25" s="28">
        <f t="shared" si="2"/>
        <v>5</v>
      </c>
      <c r="I25" s="28">
        <f t="shared" si="3"/>
        <v>32</v>
      </c>
      <c r="J25" s="8">
        <f t="shared" si="4"/>
        <v>0.84375</v>
      </c>
      <c r="K25" s="8">
        <f t="shared" si="5"/>
        <v>0.47171111700294754</v>
      </c>
      <c r="L25" s="29">
        <f t="shared" si="6"/>
        <v>2.948577315993307E-3</v>
      </c>
      <c r="M25" s="30">
        <f>IF(E25=1,'00-BUDGET'!E$21*L25,'00-BUDGET'!F$21*L25)</f>
        <v>7781.9154363658017</v>
      </c>
      <c r="N25" s="8">
        <f>IF(E25=1,'00-BUDGET'!H$21*L25,'00-BUDGET'!I$21*L25)</f>
        <v>11672.873154548706</v>
      </c>
      <c r="O25" s="8">
        <f>IF(E25=1,'00-BUDGET'!K$21*L25,'00-BUDGET'!L$21*L25)</f>
        <v>15563.830872731611</v>
      </c>
    </row>
    <row r="26" spans="1:15" ht="75" x14ac:dyDescent="0.3">
      <c r="A26" s="5" t="str">
        <f t="shared" si="0"/>
        <v>AIAS-Berchidda8</v>
      </c>
      <c r="B26" s="26" t="s">
        <v>79</v>
      </c>
      <c r="C26" s="26" t="s">
        <v>29</v>
      </c>
      <c r="D26" s="26" t="s">
        <v>80</v>
      </c>
      <c r="E26" s="26">
        <v>8</v>
      </c>
      <c r="F26" s="8">
        <v>9.9672234005895102E-2</v>
      </c>
      <c r="G26" s="27" t="str">
        <f t="shared" si="1"/>
        <v>Gallura8</v>
      </c>
      <c r="H26" s="28">
        <f t="shared" si="2"/>
        <v>9</v>
      </c>
      <c r="I26" s="28">
        <f t="shared" si="3"/>
        <v>67</v>
      </c>
      <c r="J26" s="8">
        <f t="shared" si="4"/>
        <v>0.86567164179104483</v>
      </c>
      <c r="K26" s="8">
        <f t="shared" si="5"/>
        <v>0.48267193789846996</v>
      </c>
      <c r="L26" s="29">
        <f t="shared" si="6"/>
        <v>3.0170913422527322E-3</v>
      </c>
      <c r="M26" s="30">
        <f>IF(E26=1,'00-BUDGET'!E$21*L26,'00-BUDGET'!F$21*L26)</f>
        <v>7962.7383558340607</v>
      </c>
      <c r="N26" s="8">
        <f>IF(E26=1,'00-BUDGET'!H$21*L26,'00-BUDGET'!I$21*L26)</f>
        <v>11944.107533751096</v>
      </c>
      <c r="O26" s="8">
        <f>IF(E26=1,'00-BUDGET'!K$21*L26,'00-BUDGET'!L$21*L26)</f>
        <v>15925.476711668129</v>
      </c>
    </row>
    <row r="27" spans="1:15" ht="75" x14ac:dyDescent="0.3">
      <c r="A27" s="5" t="str">
        <f t="shared" si="0"/>
        <v>AIAS-Berchidda9</v>
      </c>
      <c r="B27" s="26" t="s">
        <v>79</v>
      </c>
      <c r="C27" s="26" t="s">
        <v>29</v>
      </c>
      <c r="D27" s="26" t="s">
        <v>80</v>
      </c>
      <c r="E27" s="26">
        <v>9</v>
      </c>
      <c r="F27" s="8">
        <v>9.9672234005895102E-2</v>
      </c>
      <c r="G27" s="27" t="str">
        <f t="shared" si="1"/>
        <v>Gallura9</v>
      </c>
      <c r="H27" s="28">
        <f t="shared" si="2"/>
        <v>8</v>
      </c>
      <c r="I27" s="28">
        <f t="shared" si="3"/>
        <v>60</v>
      </c>
      <c r="J27" s="8">
        <f t="shared" si="4"/>
        <v>0.8666666666666667</v>
      </c>
      <c r="K27" s="8">
        <f t="shared" si="5"/>
        <v>0.48316945033628089</v>
      </c>
      <c r="L27" s="29">
        <f t="shared" si="6"/>
        <v>3.0202011987637981E-3</v>
      </c>
      <c r="M27" s="30">
        <f>IF(E27=1,'00-BUDGET'!E$21*L27,'00-BUDGET'!F$21*L27)</f>
        <v>7970.9459209730448</v>
      </c>
      <c r="N27" s="8">
        <f>IF(E27=1,'00-BUDGET'!H$21*L27,'00-BUDGET'!I$21*L27)</f>
        <v>11956.418881459571</v>
      </c>
      <c r="O27" s="8">
        <f>IF(E27=1,'00-BUDGET'!K$21*L27,'00-BUDGET'!L$21*L27)</f>
        <v>15941.891841946099</v>
      </c>
    </row>
    <row r="28" spans="1:15" ht="75" x14ac:dyDescent="0.3">
      <c r="A28" s="5" t="str">
        <f t="shared" si="0"/>
        <v>AIAS-Berchidda10</v>
      </c>
      <c r="B28" s="26" t="s">
        <v>79</v>
      </c>
      <c r="C28" s="26" t="s">
        <v>29</v>
      </c>
      <c r="D28" s="26" t="s">
        <v>80</v>
      </c>
      <c r="E28" s="26">
        <v>10</v>
      </c>
      <c r="F28" s="8">
        <v>9.9672234005895102E-2</v>
      </c>
      <c r="G28" s="27" t="str">
        <f t="shared" si="1"/>
        <v>Gallura10</v>
      </c>
      <c r="H28" s="28">
        <f t="shared" si="2"/>
        <v>9</v>
      </c>
      <c r="I28" s="28">
        <f t="shared" si="3"/>
        <v>65</v>
      </c>
      <c r="J28" s="8">
        <f t="shared" si="4"/>
        <v>0.86153846153846159</v>
      </c>
      <c r="K28" s="8">
        <f t="shared" si="5"/>
        <v>0.48060534777217834</v>
      </c>
      <c r="L28" s="29">
        <f t="shared" si="6"/>
        <v>3.0041734767452268E-3</v>
      </c>
      <c r="M28" s="30">
        <f>IF(E28=1,'00-BUDGET'!E$21*L28,'00-BUDGET'!F$21*L28)</f>
        <v>7928.6453929490472</v>
      </c>
      <c r="N28" s="8">
        <f>IF(E28=1,'00-BUDGET'!H$21*L28,'00-BUDGET'!I$21*L28)</f>
        <v>11892.968089423573</v>
      </c>
      <c r="O28" s="8">
        <f>IF(E28=1,'00-BUDGET'!K$21*L28,'00-BUDGET'!L$21*L28)</f>
        <v>15857.290785898102</v>
      </c>
    </row>
    <row r="29" spans="1:15" ht="75" x14ac:dyDescent="0.3">
      <c r="A29" s="5" t="str">
        <f t="shared" si="0"/>
        <v>AIAS-Berchidda11</v>
      </c>
      <c r="B29" s="26" t="s">
        <v>79</v>
      </c>
      <c r="C29" s="26" t="s">
        <v>29</v>
      </c>
      <c r="D29" s="26" t="s">
        <v>80</v>
      </c>
      <c r="E29" s="26">
        <v>11</v>
      </c>
      <c r="F29" s="8">
        <v>9.9672234005895102E-2</v>
      </c>
      <c r="G29" s="27" t="str">
        <f t="shared" si="1"/>
        <v>Gallura11</v>
      </c>
      <c r="H29" s="28">
        <f t="shared" si="2"/>
        <v>8</v>
      </c>
      <c r="I29" s="28">
        <f t="shared" si="3"/>
        <v>56</v>
      </c>
      <c r="J29" s="8">
        <f t="shared" si="4"/>
        <v>0.85714285714285721</v>
      </c>
      <c r="K29" s="8">
        <f t="shared" si="5"/>
        <v>0.47840754557437615</v>
      </c>
      <c r="L29" s="29">
        <f t="shared" si="6"/>
        <v>2.9904354293007369E-3</v>
      </c>
      <c r="M29" s="30">
        <f>IF(E29=1,'00-BUDGET'!E$21*L29,'00-BUDGET'!F$21*L29)</f>
        <v>7892.387797499905</v>
      </c>
      <c r="N29" s="8">
        <f>IF(E29=1,'00-BUDGET'!H$21*L29,'00-BUDGET'!I$21*L29)</f>
        <v>11838.581696249861</v>
      </c>
      <c r="O29" s="8">
        <f>IF(E29=1,'00-BUDGET'!K$21*L29,'00-BUDGET'!L$21*L29)</f>
        <v>15784.775594999819</v>
      </c>
    </row>
    <row r="30" spans="1:15" ht="75" x14ac:dyDescent="0.3">
      <c r="A30" s="5" t="str">
        <f t="shared" si="0"/>
        <v>AIAS-Bono3</v>
      </c>
      <c r="B30" s="26" t="s">
        <v>81</v>
      </c>
      <c r="C30" s="26" t="s">
        <v>29</v>
      </c>
      <c r="D30" s="26" t="s">
        <v>82</v>
      </c>
      <c r="E30" s="26">
        <v>3</v>
      </c>
      <c r="F30" s="8">
        <v>0.20051177607843701</v>
      </c>
      <c r="G30" s="27" t="str">
        <f t="shared" si="1"/>
        <v>Sassari3</v>
      </c>
      <c r="H30" s="28">
        <f t="shared" si="2"/>
        <v>2</v>
      </c>
      <c r="I30" s="28">
        <f t="shared" si="3"/>
        <v>10</v>
      </c>
      <c r="J30" s="8">
        <f t="shared" si="4"/>
        <v>0.8</v>
      </c>
      <c r="K30" s="8">
        <f t="shared" si="5"/>
        <v>0.5002558880392185</v>
      </c>
      <c r="L30" s="29">
        <f t="shared" si="6"/>
        <v>3.1270053015420244E-3</v>
      </c>
      <c r="M30" s="30">
        <f>IF(E30=1,'00-BUDGET'!E$21*L30,'00-BUDGET'!F$21*L30)</f>
        <v>8252.8244023575789</v>
      </c>
      <c r="N30" s="8">
        <f>IF(E30=1,'00-BUDGET'!H$21*L30,'00-BUDGET'!I$21*L30)</f>
        <v>12379.236603536372</v>
      </c>
      <c r="O30" s="8">
        <f>IF(E30=1,'00-BUDGET'!K$21*L30,'00-BUDGET'!L$21*L30)</f>
        <v>16505.648804715165</v>
      </c>
    </row>
    <row r="31" spans="1:15" ht="75" x14ac:dyDescent="0.3">
      <c r="A31" s="5" t="str">
        <f t="shared" si="0"/>
        <v>AIAS-Bono5</v>
      </c>
      <c r="B31" s="26" t="s">
        <v>81</v>
      </c>
      <c r="C31" s="26" t="s">
        <v>29</v>
      </c>
      <c r="D31" s="26" t="s">
        <v>82</v>
      </c>
      <c r="E31" s="26">
        <v>5</v>
      </c>
      <c r="F31" s="8">
        <v>0.20051177607843701</v>
      </c>
      <c r="G31" s="27" t="str">
        <f t="shared" si="1"/>
        <v>Sassari5</v>
      </c>
      <c r="H31" s="28">
        <f t="shared" si="2"/>
        <v>3</v>
      </c>
      <c r="I31" s="28">
        <f t="shared" si="3"/>
        <v>23</v>
      </c>
      <c r="J31" s="8">
        <f t="shared" si="4"/>
        <v>0.86956521739130432</v>
      </c>
      <c r="K31" s="8">
        <f t="shared" si="5"/>
        <v>0.53503849673487069</v>
      </c>
      <c r="L31" s="29">
        <f t="shared" si="6"/>
        <v>3.3444248350113421E-3</v>
      </c>
      <c r="M31" s="30">
        <f>IF(E31=1,'00-BUDGET'!E$21*L31,'00-BUDGET'!F$21*L31)</f>
        <v>8826.640260770082</v>
      </c>
      <c r="N31" s="8">
        <f>IF(E31=1,'00-BUDGET'!H$21*L31,'00-BUDGET'!I$21*L31)</f>
        <v>13239.960391155128</v>
      </c>
      <c r="O31" s="8">
        <f>IF(E31=1,'00-BUDGET'!K$21*L31,'00-BUDGET'!L$21*L31)</f>
        <v>17653.280521540175</v>
      </c>
    </row>
    <row r="32" spans="1:15" ht="75" x14ac:dyDescent="0.3">
      <c r="A32" s="5" t="str">
        <f t="shared" si="0"/>
        <v>AIAS-Bono7</v>
      </c>
      <c r="B32" s="26" t="s">
        <v>81</v>
      </c>
      <c r="C32" s="26" t="s">
        <v>29</v>
      </c>
      <c r="D32" s="26" t="s">
        <v>82</v>
      </c>
      <c r="E32" s="26">
        <v>7</v>
      </c>
      <c r="F32" s="8">
        <v>0.20051177607843701</v>
      </c>
      <c r="G32" s="27" t="str">
        <f t="shared" si="1"/>
        <v>Sassari7</v>
      </c>
      <c r="H32" s="28">
        <f t="shared" si="2"/>
        <v>4</v>
      </c>
      <c r="I32" s="28">
        <f t="shared" si="3"/>
        <v>32</v>
      </c>
      <c r="J32" s="8">
        <f t="shared" si="4"/>
        <v>0.875</v>
      </c>
      <c r="K32" s="8">
        <f t="shared" si="5"/>
        <v>0.53775588803921848</v>
      </c>
      <c r="L32" s="29">
        <f t="shared" si="6"/>
        <v>3.3614107360636324E-3</v>
      </c>
      <c r="M32" s="30">
        <f>IF(E32=1,'00-BUDGET'!E$21*L32,'00-BUDGET'!F$21*L32)</f>
        <v>8871.4696247085594</v>
      </c>
      <c r="N32" s="8">
        <f>IF(E32=1,'00-BUDGET'!H$21*L32,'00-BUDGET'!I$21*L32)</f>
        <v>13307.204437062843</v>
      </c>
      <c r="O32" s="8">
        <f>IF(E32=1,'00-BUDGET'!K$21*L32,'00-BUDGET'!L$21*L32)</f>
        <v>17742.939249417126</v>
      </c>
    </row>
    <row r="33" spans="1:15" ht="75" x14ac:dyDescent="0.3">
      <c r="A33" s="5" t="str">
        <f t="shared" si="0"/>
        <v>AIAS-Bono8</v>
      </c>
      <c r="B33" s="26" t="s">
        <v>81</v>
      </c>
      <c r="C33" s="26" t="s">
        <v>29</v>
      </c>
      <c r="D33" s="26" t="s">
        <v>82</v>
      </c>
      <c r="E33" s="26">
        <v>8</v>
      </c>
      <c r="F33" s="8">
        <v>0.20051177607843701</v>
      </c>
      <c r="G33" s="27" t="str">
        <f t="shared" si="1"/>
        <v>Sassari8</v>
      </c>
      <c r="H33" s="28">
        <f t="shared" si="2"/>
        <v>6</v>
      </c>
      <c r="I33" s="28">
        <f t="shared" si="3"/>
        <v>67</v>
      </c>
      <c r="J33" s="8">
        <f t="shared" si="4"/>
        <v>0.91044776119402981</v>
      </c>
      <c r="K33" s="8">
        <f t="shared" si="5"/>
        <v>0.55547976863623338</v>
      </c>
      <c r="L33" s="29">
        <f t="shared" si="6"/>
        <v>3.4721993742703621E-3</v>
      </c>
      <c r="M33" s="30">
        <f>IF(E33=1,'00-BUDGET'!E$21*L33,'00-BUDGET'!F$21*L33)</f>
        <v>9163.8641327848909</v>
      </c>
      <c r="N33" s="8">
        <f>IF(E33=1,'00-BUDGET'!H$21*L33,'00-BUDGET'!I$21*L33)</f>
        <v>13745.796199177341</v>
      </c>
      <c r="O33" s="8">
        <f>IF(E33=1,'00-BUDGET'!K$21*L33,'00-BUDGET'!L$21*L33)</f>
        <v>18327.728265569793</v>
      </c>
    </row>
    <row r="34" spans="1:15" ht="75" x14ac:dyDescent="0.3">
      <c r="A34" s="5" t="str">
        <f t="shared" si="0"/>
        <v>AIAS-Bono9</v>
      </c>
      <c r="B34" s="26" t="s">
        <v>81</v>
      </c>
      <c r="C34" s="26" t="s">
        <v>29</v>
      </c>
      <c r="D34" s="26" t="s">
        <v>82</v>
      </c>
      <c r="E34" s="26">
        <v>9</v>
      </c>
      <c r="F34" s="8">
        <v>0.20051177607843701</v>
      </c>
      <c r="G34" s="27" t="str">
        <f t="shared" si="1"/>
        <v>Sassari9</v>
      </c>
      <c r="H34" s="28">
        <f t="shared" si="2"/>
        <v>6</v>
      </c>
      <c r="I34" s="28">
        <f t="shared" si="3"/>
        <v>60</v>
      </c>
      <c r="J34" s="8">
        <f t="shared" si="4"/>
        <v>0.9</v>
      </c>
      <c r="K34" s="8">
        <f t="shared" si="5"/>
        <v>0.55025588803921854</v>
      </c>
      <c r="L34" s="29">
        <f t="shared" si="6"/>
        <v>3.4395458809041686E-3</v>
      </c>
      <c r="M34" s="30">
        <f>IF(E34=1,'00-BUDGET'!E$21*L34,'00-BUDGET'!F$21*L34)</f>
        <v>9077.6846988255529</v>
      </c>
      <c r="N34" s="8">
        <f>IF(E34=1,'00-BUDGET'!H$21*L34,'00-BUDGET'!I$21*L34)</f>
        <v>13616.527048238333</v>
      </c>
      <c r="O34" s="8">
        <f>IF(E34=1,'00-BUDGET'!K$21*L34,'00-BUDGET'!L$21*L34)</f>
        <v>18155.369397651113</v>
      </c>
    </row>
    <row r="35" spans="1:15" ht="75" x14ac:dyDescent="0.3">
      <c r="A35" s="5" t="str">
        <f t="shared" si="0"/>
        <v>AIAS-Bono10</v>
      </c>
      <c r="B35" s="26" t="s">
        <v>81</v>
      </c>
      <c r="C35" s="26" t="s">
        <v>29</v>
      </c>
      <c r="D35" s="26" t="s">
        <v>82</v>
      </c>
      <c r="E35" s="26">
        <v>10</v>
      </c>
      <c r="F35" s="8">
        <v>0.20051177607843701</v>
      </c>
      <c r="G35" s="27" t="str">
        <f t="shared" si="1"/>
        <v>Sassari10</v>
      </c>
      <c r="H35" s="28">
        <f t="shared" si="2"/>
        <v>6</v>
      </c>
      <c r="I35" s="28">
        <f t="shared" si="3"/>
        <v>65</v>
      </c>
      <c r="J35" s="8">
        <f t="shared" si="4"/>
        <v>0.90769230769230769</v>
      </c>
      <c r="K35" s="8">
        <f t="shared" si="5"/>
        <v>0.55410204188537238</v>
      </c>
      <c r="L35" s="29">
        <f t="shared" si="6"/>
        <v>3.4635874639320258E-3</v>
      </c>
      <c r="M35" s="30">
        <f>IF(E35=1,'00-BUDGET'!E$21*L35,'00-BUDGET'!F$21*L35)</f>
        <v>9141.1354908615504</v>
      </c>
      <c r="N35" s="8">
        <f>IF(E35=1,'00-BUDGET'!H$21*L35,'00-BUDGET'!I$21*L35)</f>
        <v>13711.703236292331</v>
      </c>
      <c r="O35" s="8">
        <f>IF(E35=1,'00-BUDGET'!K$21*L35,'00-BUDGET'!L$21*L35)</f>
        <v>18282.270981723112</v>
      </c>
    </row>
    <row r="36" spans="1:15" ht="75" x14ac:dyDescent="0.3">
      <c r="A36" s="5" t="str">
        <f t="shared" si="0"/>
        <v>AIAS-Bono11</v>
      </c>
      <c r="B36" s="26" t="s">
        <v>81</v>
      </c>
      <c r="C36" s="26" t="s">
        <v>29</v>
      </c>
      <c r="D36" s="26" t="s">
        <v>82</v>
      </c>
      <c r="E36" s="26">
        <v>11</v>
      </c>
      <c r="F36" s="8">
        <v>0.20051177607843701</v>
      </c>
      <c r="G36" s="27" t="str">
        <f t="shared" si="1"/>
        <v>Sassari11</v>
      </c>
      <c r="H36" s="28">
        <f t="shared" si="2"/>
        <v>6</v>
      </c>
      <c r="I36" s="28">
        <f t="shared" si="3"/>
        <v>56</v>
      </c>
      <c r="J36" s="8">
        <f t="shared" si="4"/>
        <v>0.8928571428571429</v>
      </c>
      <c r="K36" s="8">
        <f t="shared" si="5"/>
        <v>0.54668445946778998</v>
      </c>
      <c r="L36" s="29">
        <f t="shared" si="6"/>
        <v>3.4172215538068726E-3</v>
      </c>
      <c r="M36" s="30">
        <f>IF(E36=1,'00-BUDGET'!E$21*L36,'00-BUDGET'!F$21*L36)</f>
        <v>9018.7661062206971</v>
      </c>
      <c r="N36" s="8">
        <f>IF(E36=1,'00-BUDGET'!H$21*L36,'00-BUDGET'!I$21*L36)</f>
        <v>13528.149159331051</v>
      </c>
      <c r="O36" s="8">
        <f>IF(E36=1,'00-BUDGET'!K$21*L36,'00-BUDGET'!L$21*L36)</f>
        <v>18037.532212441405</v>
      </c>
    </row>
    <row r="37" spans="1:15" ht="75" x14ac:dyDescent="0.3">
      <c r="A37" s="5" t="str">
        <f t="shared" si="0"/>
        <v>AIAS-Buddusò8</v>
      </c>
      <c r="B37" s="26" t="s">
        <v>79</v>
      </c>
      <c r="C37" s="26" t="s">
        <v>29</v>
      </c>
      <c r="D37" s="26" t="s">
        <v>83</v>
      </c>
      <c r="E37" s="26">
        <v>8</v>
      </c>
      <c r="F37" s="8">
        <v>9.9672234005895102E-2</v>
      </c>
      <c r="G37" s="27" t="str">
        <f t="shared" si="1"/>
        <v>Gallura8</v>
      </c>
      <c r="H37" s="28">
        <f t="shared" si="2"/>
        <v>9</v>
      </c>
      <c r="I37" s="28">
        <f t="shared" si="3"/>
        <v>67</v>
      </c>
      <c r="J37" s="8">
        <f t="shared" si="4"/>
        <v>0.86567164179104483</v>
      </c>
      <c r="K37" s="8">
        <f t="shared" si="5"/>
        <v>0.48267193789846996</v>
      </c>
      <c r="L37" s="29">
        <f t="shared" si="6"/>
        <v>3.0170913422527322E-3</v>
      </c>
      <c r="M37" s="30">
        <f>IF(E37=1,'00-BUDGET'!E$21*L37,'00-BUDGET'!F$21*L37)</f>
        <v>7962.7383558340607</v>
      </c>
      <c r="N37" s="8">
        <f>IF(E37=1,'00-BUDGET'!H$21*L37,'00-BUDGET'!I$21*L37)</f>
        <v>11944.107533751096</v>
      </c>
      <c r="O37" s="8">
        <f>IF(E37=1,'00-BUDGET'!K$21*L37,'00-BUDGET'!L$21*L37)</f>
        <v>15925.476711668129</v>
      </c>
    </row>
    <row r="38" spans="1:15" ht="75" x14ac:dyDescent="0.3">
      <c r="A38" s="5" t="str">
        <f t="shared" si="0"/>
        <v>AIAS-Buddusò9</v>
      </c>
      <c r="B38" s="26" t="s">
        <v>79</v>
      </c>
      <c r="C38" s="26" t="s">
        <v>29</v>
      </c>
      <c r="D38" s="26" t="s">
        <v>83</v>
      </c>
      <c r="E38" s="26">
        <v>9</v>
      </c>
      <c r="F38" s="8">
        <v>9.9672234005895102E-2</v>
      </c>
      <c r="G38" s="27" t="str">
        <f t="shared" si="1"/>
        <v>Gallura9</v>
      </c>
      <c r="H38" s="28">
        <f t="shared" si="2"/>
        <v>8</v>
      </c>
      <c r="I38" s="28">
        <f t="shared" si="3"/>
        <v>60</v>
      </c>
      <c r="J38" s="8">
        <f t="shared" si="4"/>
        <v>0.8666666666666667</v>
      </c>
      <c r="K38" s="8">
        <f t="shared" si="5"/>
        <v>0.48316945033628089</v>
      </c>
      <c r="L38" s="29">
        <f t="shared" si="6"/>
        <v>3.0202011987637981E-3</v>
      </c>
      <c r="M38" s="30">
        <f>IF(E38=1,'00-BUDGET'!E$21*L38,'00-BUDGET'!F$21*L38)</f>
        <v>7970.9459209730448</v>
      </c>
      <c r="N38" s="8">
        <f>IF(E38=1,'00-BUDGET'!H$21*L38,'00-BUDGET'!I$21*L38)</f>
        <v>11956.418881459571</v>
      </c>
      <c r="O38" s="8">
        <f>IF(E38=1,'00-BUDGET'!K$21*L38,'00-BUDGET'!L$21*L38)</f>
        <v>15941.891841946099</v>
      </c>
    </row>
    <row r="39" spans="1:15" ht="75" x14ac:dyDescent="0.3">
      <c r="A39" s="5" t="str">
        <f t="shared" si="0"/>
        <v>AIAS-Buddusò10</v>
      </c>
      <c r="B39" s="26" t="s">
        <v>79</v>
      </c>
      <c r="C39" s="26" t="s">
        <v>29</v>
      </c>
      <c r="D39" s="26" t="s">
        <v>83</v>
      </c>
      <c r="E39" s="26">
        <v>10</v>
      </c>
      <c r="F39" s="8">
        <v>9.9672234005895102E-2</v>
      </c>
      <c r="G39" s="27" t="str">
        <f t="shared" si="1"/>
        <v>Gallura10</v>
      </c>
      <c r="H39" s="28">
        <f t="shared" si="2"/>
        <v>9</v>
      </c>
      <c r="I39" s="28">
        <f t="shared" si="3"/>
        <v>65</v>
      </c>
      <c r="J39" s="8">
        <f t="shared" si="4"/>
        <v>0.86153846153846159</v>
      </c>
      <c r="K39" s="8">
        <f t="shared" si="5"/>
        <v>0.48060534777217834</v>
      </c>
      <c r="L39" s="29">
        <f t="shared" si="6"/>
        <v>3.0041734767452268E-3</v>
      </c>
      <c r="M39" s="30">
        <f>IF(E39=1,'00-BUDGET'!E$21*L39,'00-BUDGET'!F$21*L39)</f>
        <v>7928.6453929490472</v>
      </c>
      <c r="N39" s="8">
        <f>IF(E39=1,'00-BUDGET'!H$21*L39,'00-BUDGET'!I$21*L39)</f>
        <v>11892.968089423573</v>
      </c>
      <c r="O39" s="8">
        <f>IF(E39=1,'00-BUDGET'!K$21*L39,'00-BUDGET'!L$21*L39)</f>
        <v>15857.290785898102</v>
      </c>
    </row>
    <row r="40" spans="1:15" ht="75" x14ac:dyDescent="0.3">
      <c r="A40" s="5" t="str">
        <f t="shared" si="0"/>
        <v>AIAS-Buddusò11</v>
      </c>
      <c r="B40" s="26" t="s">
        <v>79</v>
      </c>
      <c r="C40" s="26" t="s">
        <v>29</v>
      </c>
      <c r="D40" s="26" t="s">
        <v>83</v>
      </c>
      <c r="E40" s="26">
        <v>11</v>
      </c>
      <c r="F40" s="8">
        <v>9.9672234005895102E-2</v>
      </c>
      <c r="G40" s="27" t="str">
        <f t="shared" si="1"/>
        <v>Gallura11</v>
      </c>
      <c r="H40" s="28">
        <f t="shared" si="2"/>
        <v>8</v>
      </c>
      <c r="I40" s="28">
        <f t="shared" si="3"/>
        <v>56</v>
      </c>
      <c r="J40" s="8">
        <f t="shared" si="4"/>
        <v>0.85714285714285721</v>
      </c>
      <c r="K40" s="8">
        <f t="shared" si="5"/>
        <v>0.47840754557437615</v>
      </c>
      <c r="L40" s="29">
        <f t="shared" si="6"/>
        <v>2.9904354293007369E-3</v>
      </c>
      <c r="M40" s="30">
        <f>IF(E40=1,'00-BUDGET'!E$21*L40,'00-BUDGET'!F$21*L40)</f>
        <v>7892.387797499905</v>
      </c>
      <c r="N40" s="8">
        <f>IF(E40=1,'00-BUDGET'!H$21*L40,'00-BUDGET'!I$21*L40)</f>
        <v>11838.581696249861</v>
      </c>
      <c r="O40" s="8">
        <f>IF(E40=1,'00-BUDGET'!K$21*L40,'00-BUDGET'!L$21*L40)</f>
        <v>15784.775594999819</v>
      </c>
    </row>
    <row r="41" spans="1:15" ht="75" x14ac:dyDescent="0.3">
      <c r="A41" s="5" t="str">
        <f t="shared" si="0"/>
        <v>AIAS-Cagliari3</v>
      </c>
      <c r="B41" s="26" t="s">
        <v>77</v>
      </c>
      <c r="C41" s="26" t="s">
        <v>29</v>
      </c>
      <c r="D41" s="26" t="s">
        <v>84</v>
      </c>
      <c r="E41" s="26">
        <v>3</v>
      </c>
      <c r="F41" s="8">
        <v>0.34343362439390401</v>
      </c>
      <c r="G41" s="27" t="str">
        <f t="shared" si="1"/>
        <v>Cagliari3</v>
      </c>
      <c r="H41" s="28">
        <f t="shared" si="2"/>
        <v>4</v>
      </c>
      <c r="I41" s="28">
        <f t="shared" si="3"/>
        <v>10</v>
      </c>
      <c r="J41" s="8">
        <f t="shared" si="4"/>
        <v>0.6</v>
      </c>
      <c r="K41" s="8">
        <f t="shared" si="5"/>
        <v>0.471716812196952</v>
      </c>
      <c r="L41" s="29">
        <f t="shared" si="6"/>
        <v>2.9486129155779812E-3</v>
      </c>
      <c r="M41" s="30">
        <f>IF(E41=1,'00-BUDGET'!E$21*L41,'00-BUDGET'!F$21*L41)</f>
        <v>7782.0093911540998</v>
      </c>
      <c r="N41" s="8">
        <f>IF(E41=1,'00-BUDGET'!H$21*L41,'00-BUDGET'!I$21*L41)</f>
        <v>11673.014086731153</v>
      </c>
      <c r="O41" s="8">
        <f>IF(E41=1,'00-BUDGET'!K$21*L41,'00-BUDGET'!L$21*L41)</f>
        <v>15564.018782308207</v>
      </c>
    </row>
    <row r="42" spans="1:15" ht="75" x14ac:dyDescent="0.3">
      <c r="A42" s="5" t="str">
        <f t="shared" si="0"/>
        <v>AIAS-Cagliari4</v>
      </c>
      <c r="B42" s="26" t="s">
        <v>77</v>
      </c>
      <c r="C42" s="26" t="s">
        <v>29</v>
      </c>
      <c r="D42" s="26" t="s">
        <v>84</v>
      </c>
      <c r="E42" s="26">
        <v>4</v>
      </c>
      <c r="F42" s="8">
        <v>0.34343362439390401</v>
      </c>
      <c r="G42" s="27" t="str">
        <f t="shared" si="1"/>
        <v>Cagliari4</v>
      </c>
      <c r="H42" s="28">
        <f t="shared" si="2"/>
        <v>3</v>
      </c>
      <c r="I42" s="28">
        <f t="shared" si="3"/>
        <v>6</v>
      </c>
      <c r="J42" s="8">
        <f t="shared" si="4"/>
        <v>0.5</v>
      </c>
      <c r="K42" s="8">
        <f t="shared" si="5"/>
        <v>0.42171681219695201</v>
      </c>
      <c r="L42" s="29">
        <f t="shared" si="6"/>
        <v>2.6360723362158374E-3</v>
      </c>
      <c r="M42" s="30">
        <f>IF(E42=1,'00-BUDGET'!E$21*L42,'00-BUDGET'!F$21*L42)</f>
        <v>6957.1490946861277</v>
      </c>
      <c r="N42" s="8">
        <f>IF(E42=1,'00-BUDGET'!H$21*L42,'00-BUDGET'!I$21*L42)</f>
        <v>10435.723642029194</v>
      </c>
      <c r="O42" s="8">
        <f>IF(E42=1,'00-BUDGET'!K$21*L42,'00-BUDGET'!L$21*L42)</f>
        <v>13914.298189372263</v>
      </c>
    </row>
    <row r="43" spans="1:15" ht="75" x14ac:dyDescent="0.3">
      <c r="A43" s="5" t="str">
        <f t="shared" si="0"/>
        <v>AIAS-Cagliari5</v>
      </c>
      <c r="B43" s="26" t="s">
        <v>77</v>
      </c>
      <c r="C43" s="26" t="s">
        <v>29</v>
      </c>
      <c r="D43" s="26" t="s">
        <v>84</v>
      </c>
      <c r="E43" s="26">
        <v>5</v>
      </c>
      <c r="F43" s="8">
        <v>0.34343362439390401</v>
      </c>
      <c r="G43" s="27" t="str">
        <f t="shared" si="1"/>
        <v>Cagliari5</v>
      </c>
      <c r="H43" s="28">
        <f t="shared" si="2"/>
        <v>11</v>
      </c>
      <c r="I43" s="28">
        <f t="shared" si="3"/>
        <v>23</v>
      </c>
      <c r="J43" s="8">
        <f t="shared" si="4"/>
        <v>0.52173913043478259</v>
      </c>
      <c r="K43" s="8">
        <f t="shared" si="5"/>
        <v>0.4325863774143433</v>
      </c>
      <c r="L43" s="29">
        <f t="shared" si="6"/>
        <v>2.7040159404249993E-3</v>
      </c>
      <c r="M43" s="30">
        <f>IF(E43=1,'00-BUDGET'!E$21*L43,'00-BUDGET'!F$21*L43)</f>
        <v>7136.4665504400346</v>
      </c>
      <c r="N43" s="8">
        <f>IF(E43=1,'00-BUDGET'!H$21*L43,'00-BUDGET'!I$21*L43)</f>
        <v>10704.699825660056</v>
      </c>
      <c r="O43" s="8">
        <f>IF(E43=1,'00-BUDGET'!K$21*L43,'00-BUDGET'!L$21*L43)</f>
        <v>14272.933100880076</v>
      </c>
    </row>
    <row r="44" spans="1:15" ht="75" x14ac:dyDescent="0.3">
      <c r="A44" s="5" t="str">
        <f t="shared" si="0"/>
        <v>AIAS-Cagliari6</v>
      </c>
      <c r="B44" s="26" t="s">
        <v>77</v>
      </c>
      <c r="C44" s="26" t="s">
        <v>29</v>
      </c>
      <c r="D44" s="26" t="s">
        <v>84</v>
      </c>
      <c r="E44" s="26">
        <v>6</v>
      </c>
      <c r="F44" s="8">
        <v>0.34343362439390401</v>
      </c>
      <c r="G44" s="27" t="str">
        <f t="shared" si="1"/>
        <v>Cagliari6</v>
      </c>
      <c r="H44" s="28">
        <f t="shared" si="2"/>
        <v>3</v>
      </c>
      <c r="I44" s="28">
        <f t="shared" si="3"/>
        <v>5</v>
      </c>
      <c r="J44" s="8">
        <f t="shared" si="4"/>
        <v>0.4</v>
      </c>
      <c r="K44" s="8">
        <f t="shared" si="5"/>
        <v>0.37171681219695202</v>
      </c>
      <c r="L44" s="29">
        <f t="shared" si="6"/>
        <v>2.3235317568536936E-3</v>
      </c>
      <c r="M44" s="30">
        <f>IF(E44=1,'00-BUDGET'!E$21*L44,'00-BUDGET'!F$21*L44)</f>
        <v>6132.2887982181546</v>
      </c>
      <c r="N44" s="8">
        <f>IF(E44=1,'00-BUDGET'!H$21*L44,'00-BUDGET'!I$21*L44)</f>
        <v>9198.4331973272347</v>
      </c>
      <c r="O44" s="8">
        <f>IF(E44=1,'00-BUDGET'!K$21*L44,'00-BUDGET'!L$21*L44)</f>
        <v>12264.577596436317</v>
      </c>
    </row>
    <row r="45" spans="1:15" ht="75" x14ac:dyDescent="0.3">
      <c r="A45" s="5" t="str">
        <f t="shared" si="0"/>
        <v>AIAS-Cagliari7</v>
      </c>
      <c r="B45" s="26" t="s">
        <v>77</v>
      </c>
      <c r="C45" s="26" t="s">
        <v>29</v>
      </c>
      <c r="D45" s="26" t="s">
        <v>84</v>
      </c>
      <c r="E45" s="26">
        <v>7</v>
      </c>
      <c r="F45" s="8">
        <v>0.34343362439390401</v>
      </c>
      <c r="G45" s="27" t="str">
        <f t="shared" si="1"/>
        <v>Cagliari7</v>
      </c>
      <c r="H45" s="28">
        <f t="shared" si="2"/>
        <v>15</v>
      </c>
      <c r="I45" s="28">
        <f t="shared" si="3"/>
        <v>32</v>
      </c>
      <c r="J45" s="8">
        <f t="shared" si="4"/>
        <v>0.53125</v>
      </c>
      <c r="K45" s="8">
        <f t="shared" si="5"/>
        <v>0.43734181219695201</v>
      </c>
      <c r="L45" s="29">
        <f t="shared" si="6"/>
        <v>2.7337412672665076E-3</v>
      </c>
      <c r="M45" s="30">
        <f>IF(E45=1,'00-BUDGET'!E$21*L45,'00-BUDGET'!F$21*L45)</f>
        <v>7214.9179373323695</v>
      </c>
      <c r="N45" s="8">
        <f>IF(E45=1,'00-BUDGET'!H$21*L45,'00-BUDGET'!I$21*L45)</f>
        <v>10822.376905998557</v>
      </c>
      <c r="O45" s="8">
        <f>IF(E45=1,'00-BUDGET'!K$21*L45,'00-BUDGET'!L$21*L45)</f>
        <v>14429.835874664746</v>
      </c>
    </row>
    <row r="46" spans="1:15" ht="75" x14ac:dyDescent="0.3">
      <c r="A46" s="5" t="str">
        <f t="shared" si="0"/>
        <v>AIAS-Cagliari8</v>
      </c>
      <c r="B46" s="26" t="s">
        <v>77</v>
      </c>
      <c r="C46" s="26" t="s">
        <v>29</v>
      </c>
      <c r="D46" s="26" t="s">
        <v>84</v>
      </c>
      <c r="E46" s="26">
        <v>8</v>
      </c>
      <c r="F46" s="8">
        <v>0.34343362439390401</v>
      </c>
      <c r="G46" s="27" t="str">
        <f t="shared" si="1"/>
        <v>Cagliari8</v>
      </c>
      <c r="H46" s="28">
        <f t="shared" si="2"/>
        <v>26</v>
      </c>
      <c r="I46" s="28">
        <f t="shared" si="3"/>
        <v>67</v>
      </c>
      <c r="J46" s="8">
        <f t="shared" si="4"/>
        <v>0.61194029850746268</v>
      </c>
      <c r="K46" s="8">
        <f t="shared" si="5"/>
        <v>0.47768696145068335</v>
      </c>
      <c r="L46" s="29">
        <f t="shared" si="6"/>
        <v>2.9859311937107747E-3</v>
      </c>
      <c r="M46" s="30">
        <f>IF(E46=1,'00-BUDGET'!E$21*L46,'00-BUDGET'!F$21*L46)</f>
        <v>7880.5001728219177</v>
      </c>
      <c r="N46" s="8">
        <f>IF(E46=1,'00-BUDGET'!H$21*L46,'00-BUDGET'!I$21*L46)</f>
        <v>11820.75025923288</v>
      </c>
      <c r="O46" s="8">
        <f>IF(E46=1,'00-BUDGET'!K$21*L46,'00-BUDGET'!L$21*L46)</f>
        <v>15761.000345643844</v>
      </c>
    </row>
    <row r="47" spans="1:15" ht="75" x14ac:dyDescent="0.3">
      <c r="A47" s="5" t="str">
        <f t="shared" si="0"/>
        <v>AIAS-Cagliari9</v>
      </c>
      <c r="B47" s="26" t="s">
        <v>77</v>
      </c>
      <c r="C47" s="26" t="s">
        <v>29</v>
      </c>
      <c r="D47" s="26" t="s">
        <v>84</v>
      </c>
      <c r="E47" s="26">
        <v>9</v>
      </c>
      <c r="F47" s="8">
        <v>0.34343362439390401</v>
      </c>
      <c r="G47" s="27" t="str">
        <f t="shared" si="1"/>
        <v>Cagliari9</v>
      </c>
      <c r="H47" s="28">
        <f t="shared" si="2"/>
        <v>22</v>
      </c>
      <c r="I47" s="28">
        <f t="shared" si="3"/>
        <v>60</v>
      </c>
      <c r="J47" s="8">
        <f t="shared" si="4"/>
        <v>0.6333333333333333</v>
      </c>
      <c r="K47" s="8">
        <f t="shared" si="5"/>
        <v>0.48838347886361866</v>
      </c>
      <c r="L47" s="29">
        <f t="shared" si="6"/>
        <v>3.0527931086986961E-3</v>
      </c>
      <c r="M47" s="30">
        <f>IF(E47=1,'00-BUDGET'!E$21*L47,'00-BUDGET'!F$21*L47)</f>
        <v>8056.9628233100912</v>
      </c>
      <c r="N47" s="8">
        <f>IF(E47=1,'00-BUDGET'!H$21*L47,'00-BUDGET'!I$21*L47)</f>
        <v>12085.444234965142</v>
      </c>
      <c r="O47" s="8">
        <f>IF(E47=1,'00-BUDGET'!K$21*L47,'00-BUDGET'!L$21*L47)</f>
        <v>16113.925646620191</v>
      </c>
    </row>
    <row r="48" spans="1:15" ht="75" x14ac:dyDescent="0.3">
      <c r="A48" s="5" t="str">
        <f t="shared" si="0"/>
        <v>AIAS-Cagliari10</v>
      </c>
      <c r="B48" s="26" t="s">
        <v>77</v>
      </c>
      <c r="C48" s="26" t="s">
        <v>29</v>
      </c>
      <c r="D48" s="26" t="s">
        <v>84</v>
      </c>
      <c r="E48" s="26">
        <v>10</v>
      </c>
      <c r="F48" s="8">
        <v>0.34343362439390401</v>
      </c>
      <c r="G48" s="27" t="str">
        <f t="shared" si="1"/>
        <v>Cagliari10</v>
      </c>
      <c r="H48" s="28">
        <f t="shared" si="2"/>
        <v>26</v>
      </c>
      <c r="I48" s="28">
        <f t="shared" si="3"/>
        <v>65</v>
      </c>
      <c r="J48" s="8">
        <f t="shared" si="4"/>
        <v>0.6</v>
      </c>
      <c r="K48" s="8">
        <f t="shared" si="5"/>
        <v>0.471716812196952</v>
      </c>
      <c r="L48" s="29">
        <f t="shared" si="6"/>
        <v>2.9486129155779812E-3</v>
      </c>
      <c r="M48" s="30">
        <f>IF(E48=1,'00-BUDGET'!E$21*L48,'00-BUDGET'!F$21*L48)</f>
        <v>7782.0093911540998</v>
      </c>
      <c r="N48" s="8">
        <f>IF(E48=1,'00-BUDGET'!H$21*L48,'00-BUDGET'!I$21*L48)</f>
        <v>11673.014086731153</v>
      </c>
      <c r="O48" s="8">
        <f>IF(E48=1,'00-BUDGET'!K$21*L48,'00-BUDGET'!L$21*L48)</f>
        <v>15564.018782308207</v>
      </c>
    </row>
    <row r="49" spans="1:15" ht="75" x14ac:dyDescent="0.3">
      <c r="A49" s="5" t="str">
        <f t="shared" si="0"/>
        <v>AIAS-Cagliari11</v>
      </c>
      <c r="B49" s="26" t="s">
        <v>77</v>
      </c>
      <c r="C49" s="26" t="s">
        <v>29</v>
      </c>
      <c r="D49" s="26" t="s">
        <v>84</v>
      </c>
      <c r="E49" s="26">
        <v>11</v>
      </c>
      <c r="F49" s="8">
        <v>0.34343362439390401</v>
      </c>
      <c r="G49" s="27" t="str">
        <f t="shared" si="1"/>
        <v>Cagliari11</v>
      </c>
      <c r="H49" s="28">
        <f t="shared" si="2"/>
        <v>19</v>
      </c>
      <c r="I49" s="28">
        <f t="shared" si="3"/>
        <v>56</v>
      </c>
      <c r="J49" s="8">
        <f t="shared" si="4"/>
        <v>0.6607142857142857</v>
      </c>
      <c r="K49" s="8">
        <f t="shared" si="5"/>
        <v>0.50207395505409491</v>
      </c>
      <c r="L49" s="29">
        <f t="shared" si="6"/>
        <v>3.1383696959049979E-3</v>
      </c>
      <c r="M49" s="30">
        <f>IF(E49=1,'00-BUDGET'!E$21*L49,'00-BUDGET'!F$21*L49)</f>
        <v>8282.8174282953714</v>
      </c>
      <c r="N49" s="8">
        <f>IF(E49=1,'00-BUDGET'!H$21*L49,'00-BUDGET'!I$21*L49)</f>
        <v>12424.22614244306</v>
      </c>
      <c r="O49" s="8">
        <f>IF(E49=1,'00-BUDGET'!K$21*L49,'00-BUDGET'!L$21*L49)</f>
        <v>16565.63485659075</v>
      </c>
    </row>
    <row r="50" spans="1:15" ht="75" x14ac:dyDescent="0.3">
      <c r="A50" s="5" t="str">
        <f t="shared" si="0"/>
        <v>AIAS-Capoterra7</v>
      </c>
      <c r="B50" s="26" t="s">
        <v>77</v>
      </c>
      <c r="C50" s="26" t="s">
        <v>29</v>
      </c>
      <c r="D50" s="26" t="s">
        <v>85</v>
      </c>
      <c r="E50" s="26">
        <v>7</v>
      </c>
      <c r="F50" s="8">
        <v>0.34343362439390401</v>
      </c>
      <c r="G50" s="27" t="str">
        <f t="shared" si="1"/>
        <v>Cagliari7</v>
      </c>
      <c r="H50" s="28">
        <f t="shared" si="2"/>
        <v>15</v>
      </c>
      <c r="I50" s="28">
        <f t="shared" si="3"/>
        <v>32</v>
      </c>
      <c r="J50" s="8">
        <f t="shared" si="4"/>
        <v>0.53125</v>
      </c>
      <c r="K50" s="8">
        <f t="shared" si="5"/>
        <v>0.43734181219695201</v>
      </c>
      <c r="L50" s="29">
        <f t="shared" si="6"/>
        <v>2.7337412672665076E-3</v>
      </c>
      <c r="M50" s="30">
        <f>IF(E50=1,'00-BUDGET'!E$21*L50,'00-BUDGET'!F$21*L50)</f>
        <v>7214.9179373323695</v>
      </c>
      <c r="N50" s="8">
        <f>IF(E50=1,'00-BUDGET'!H$21*L50,'00-BUDGET'!I$21*L50)</f>
        <v>10822.376905998557</v>
      </c>
      <c r="O50" s="8">
        <f>IF(E50=1,'00-BUDGET'!K$21*L50,'00-BUDGET'!L$21*L50)</f>
        <v>14429.835874664746</v>
      </c>
    </row>
    <row r="51" spans="1:15" ht="75" x14ac:dyDescent="0.3">
      <c r="A51" s="5" t="str">
        <f t="shared" si="0"/>
        <v>AIAS-Capoterra8</v>
      </c>
      <c r="B51" s="26" t="s">
        <v>77</v>
      </c>
      <c r="C51" s="26" t="s">
        <v>29</v>
      </c>
      <c r="D51" s="26" t="s">
        <v>85</v>
      </c>
      <c r="E51" s="26">
        <v>8</v>
      </c>
      <c r="F51" s="8">
        <v>0.34343362439390401</v>
      </c>
      <c r="G51" s="27" t="str">
        <f t="shared" si="1"/>
        <v>Cagliari8</v>
      </c>
      <c r="H51" s="28">
        <f t="shared" si="2"/>
        <v>26</v>
      </c>
      <c r="I51" s="28">
        <f t="shared" si="3"/>
        <v>67</v>
      </c>
      <c r="J51" s="8">
        <f t="shared" si="4"/>
        <v>0.61194029850746268</v>
      </c>
      <c r="K51" s="8">
        <f t="shared" si="5"/>
        <v>0.47768696145068335</v>
      </c>
      <c r="L51" s="29">
        <f t="shared" si="6"/>
        <v>2.9859311937107747E-3</v>
      </c>
      <c r="M51" s="30">
        <f>IF(E51=1,'00-BUDGET'!E$21*L51,'00-BUDGET'!F$21*L51)</f>
        <v>7880.5001728219177</v>
      </c>
      <c r="N51" s="8">
        <f>IF(E51=1,'00-BUDGET'!H$21*L51,'00-BUDGET'!I$21*L51)</f>
        <v>11820.75025923288</v>
      </c>
      <c r="O51" s="8">
        <f>IF(E51=1,'00-BUDGET'!K$21*L51,'00-BUDGET'!L$21*L51)</f>
        <v>15761.000345643844</v>
      </c>
    </row>
    <row r="52" spans="1:15" ht="75" x14ac:dyDescent="0.3">
      <c r="A52" s="5" t="str">
        <f t="shared" si="0"/>
        <v>AIAS-Capoterra9</v>
      </c>
      <c r="B52" s="26" t="s">
        <v>77</v>
      </c>
      <c r="C52" s="26" t="s">
        <v>29</v>
      </c>
      <c r="D52" s="26" t="s">
        <v>85</v>
      </c>
      <c r="E52" s="26">
        <v>9</v>
      </c>
      <c r="F52" s="8">
        <v>0.34343362439390401</v>
      </c>
      <c r="G52" s="27" t="str">
        <f t="shared" si="1"/>
        <v>Cagliari9</v>
      </c>
      <c r="H52" s="28">
        <f t="shared" si="2"/>
        <v>22</v>
      </c>
      <c r="I52" s="28">
        <f t="shared" si="3"/>
        <v>60</v>
      </c>
      <c r="J52" s="8">
        <f t="shared" si="4"/>
        <v>0.6333333333333333</v>
      </c>
      <c r="K52" s="8">
        <f t="shared" si="5"/>
        <v>0.48838347886361866</v>
      </c>
      <c r="L52" s="29">
        <f t="shared" si="6"/>
        <v>3.0527931086986961E-3</v>
      </c>
      <c r="M52" s="30">
        <f>IF(E52=1,'00-BUDGET'!E$21*L52,'00-BUDGET'!F$21*L52)</f>
        <v>8056.9628233100912</v>
      </c>
      <c r="N52" s="8">
        <f>IF(E52=1,'00-BUDGET'!H$21*L52,'00-BUDGET'!I$21*L52)</f>
        <v>12085.444234965142</v>
      </c>
      <c r="O52" s="8">
        <f>IF(E52=1,'00-BUDGET'!K$21*L52,'00-BUDGET'!L$21*L52)</f>
        <v>16113.925646620191</v>
      </c>
    </row>
    <row r="53" spans="1:15" ht="75" x14ac:dyDescent="0.3">
      <c r="A53" s="5" t="str">
        <f t="shared" si="0"/>
        <v>AIAS-Capoterra10</v>
      </c>
      <c r="B53" s="26" t="s">
        <v>77</v>
      </c>
      <c r="C53" s="26" t="s">
        <v>29</v>
      </c>
      <c r="D53" s="26" t="s">
        <v>85</v>
      </c>
      <c r="E53" s="26">
        <v>10</v>
      </c>
      <c r="F53" s="8">
        <v>0.34343362439390401</v>
      </c>
      <c r="G53" s="27" t="str">
        <f t="shared" si="1"/>
        <v>Cagliari10</v>
      </c>
      <c r="H53" s="28">
        <f t="shared" si="2"/>
        <v>26</v>
      </c>
      <c r="I53" s="28">
        <f t="shared" si="3"/>
        <v>65</v>
      </c>
      <c r="J53" s="8">
        <f t="shared" si="4"/>
        <v>0.6</v>
      </c>
      <c r="K53" s="8">
        <f t="shared" si="5"/>
        <v>0.471716812196952</v>
      </c>
      <c r="L53" s="29">
        <f t="shared" si="6"/>
        <v>2.9486129155779812E-3</v>
      </c>
      <c r="M53" s="30">
        <f>IF(E53=1,'00-BUDGET'!E$21*L53,'00-BUDGET'!F$21*L53)</f>
        <v>7782.0093911540998</v>
      </c>
      <c r="N53" s="8">
        <f>IF(E53=1,'00-BUDGET'!H$21*L53,'00-BUDGET'!I$21*L53)</f>
        <v>11673.014086731153</v>
      </c>
      <c r="O53" s="8">
        <f>IF(E53=1,'00-BUDGET'!K$21*L53,'00-BUDGET'!L$21*L53)</f>
        <v>15564.018782308207</v>
      </c>
    </row>
    <row r="54" spans="1:15" ht="75" x14ac:dyDescent="0.3">
      <c r="A54" s="5" t="str">
        <f t="shared" si="0"/>
        <v>AIAS-Capoterra11</v>
      </c>
      <c r="B54" s="26" t="s">
        <v>77</v>
      </c>
      <c r="C54" s="26" t="s">
        <v>29</v>
      </c>
      <c r="D54" s="26" t="s">
        <v>85</v>
      </c>
      <c r="E54" s="26">
        <v>11</v>
      </c>
      <c r="F54" s="8">
        <v>0.34343362439390401</v>
      </c>
      <c r="G54" s="27" t="str">
        <f t="shared" si="1"/>
        <v>Cagliari11</v>
      </c>
      <c r="H54" s="28">
        <f t="shared" si="2"/>
        <v>19</v>
      </c>
      <c r="I54" s="28">
        <f t="shared" si="3"/>
        <v>56</v>
      </c>
      <c r="J54" s="8">
        <f t="shared" si="4"/>
        <v>0.6607142857142857</v>
      </c>
      <c r="K54" s="8">
        <f t="shared" si="5"/>
        <v>0.50207395505409491</v>
      </c>
      <c r="L54" s="29">
        <f t="shared" si="6"/>
        <v>3.1383696959049979E-3</v>
      </c>
      <c r="M54" s="30">
        <f>IF(E54=1,'00-BUDGET'!E$21*L54,'00-BUDGET'!F$21*L54)</f>
        <v>8282.8174282953714</v>
      </c>
      <c r="N54" s="8">
        <f>IF(E54=1,'00-BUDGET'!H$21*L54,'00-BUDGET'!I$21*L54)</f>
        <v>12424.22614244306</v>
      </c>
      <c r="O54" s="8">
        <f>IF(E54=1,'00-BUDGET'!K$21*L54,'00-BUDGET'!L$21*L54)</f>
        <v>16565.63485659075</v>
      </c>
    </row>
    <row r="55" spans="1:15" ht="75" x14ac:dyDescent="0.3">
      <c r="A55" s="5" t="str">
        <f t="shared" si="0"/>
        <v>AIAS-Carloforte8</v>
      </c>
      <c r="B55" s="26" t="s">
        <v>86</v>
      </c>
      <c r="C55" s="26" t="s">
        <v>29</v>
      </c>
      <c r="D55" s="26" t="s">
        <v>87</v>
      </c>
      <c r="E55" s="26">
        <v>8</v>
      </c>
      <c r="F55" s="8">
        <v>7.5018914422396707E-2</v>
      </c>
      <c r="G55" s="27" t="str">
        <f t="shared" si="1"/>
        <v>Sulcis8</v>
      </c>
      <c r="H55" s="28">
        <f t="shared" si="2"/>
        <v>8</v>
      </c>
      <c r="I55" s="28">
        <f t="shared" si="3"/>
        <v>67</v>
      </c>
      <c r="J55" s="8">
        <f t="shared" si="4"/>
        <v>0.88059701492537312</v>
      </c>
      <c r="K55" s="8">
        <f t="shared" si="5"/>
        <v>0.47780796467388492</v>
      </c>
      <c r="L55" s="29">
        <f t="shared" si="6"/>
        <v>2.9866875620604568E-3</v>
      </c>
      <c r="M55" s="30">
        <f>IF(E55=1,'00-BUDGET'!E$21*L55,'00-BUDGET'!F$21*L55)</f>
        <v>7882.4963879131901</v>
      </c>
      <c r="N55" s="8">
        <f>IF(E55=1,'00-BUDGET'!H$21*L55,'00-BUDGET'!I$21*L55)</f>
        <v>11823.744581869789</v>
      </c>
      <c r="O55" s="8">
        <f>IF(E55=1,'00-BUDGET'!K$21*L55,'00-BUDGET'!L$21*L55)</f>
        <v>15764.992775826389</v>
      </c>
    </row>
    <row r="56" spans="1:15" ht="75" x14ac:dyDescent="0.3">
      <c r="A56" s="5" t="str">
        <f t="shared" si="0"/>
        <v>AIAS-Carloforte9</v>
      </c>
      <c r="B56" s="26" t="s">
        <v>86</v>
      </c>
      <c r="C56" s="26" t="s">
        <v>29</v>
      </c>
      <c r="D56" s="26" t="s">
        <v>87</v>
      </c>
      <c r="E56" s="26">
        <v>9</v>
      </c>
      <c r="F56" s="8">
        <v>7.5018914422396707E-2</v>
      </c>
      <c r="G56" s="27" t="str">
        <f t="shared" si="1"/>
        <v>Sulcis9</v>
      </c>
      <c r="H56" s="28">
        <f t="shared" si="2"/>
        <v>7</v>
      </c>
      <c r="I56" s="28">
        <f t="shared" si="3"/>
        <v>60</v>
      </c>
      <c r="J56" s="8">
        <f t="shared" si="4"/>
        <v>0.8833333333333333</v>
      </c>
      <c r="K56" s="8">
        <f t="shared" si="5"/>
        <v>0.47917612387786501</v>
      </c>
      <c r="L56" s="29">
        <f t="shared" si="6"/>
        <v>2.9952396674658888E-3</v>
      </c>
      <c r="M56" s="30">
        <f>IF(E56=1,'00-BUDGET'!E$21*L56,'00-BUDGET'!F$21*L56)</f>
        <v>7905.0671920453988</v>
      </c>
      <c r="N56" s="8">
        <f>IF(E56=1,'00-BUDGET'!H$21*L56,'00-BUDGET'!I$21*L56)</f>
        <v>11857.600788068103</v>
      </c>
      <c r="O56" s="8">
        <f>IF(E56=1,'00-BUDGET'!K$21*L56,'00-BUDGET'!L$21*L56)</f>
        <v>15810.134384090807</v>
      </c>
    </row>
    <row r="57" spans="1:15" ht="75" x14ac:dyDescent="0.3">
      <c r="A57" s="5" t="str">
        <f t="shared" si="0"/>
        <v>AIAS-Carloforte10</v>
      </c>
      <c r="B57" s="26" t="s">
        <v>86</v>
      </c>
      <c r="C57" s="26" t="s">
        <v>29</v>
      </c>
      <c r="D57" s="26" t="s">
        <v>87</v>
      </c>
      <c r="E57" s="26">
        <v>10</v>
      </c>
      <c r="F57" s="8">
        <v>7.5018914422396707E-2</v>
      </c>
      <c r="G57" s="27" t="str">
        <f t="shared" si="1"/>
        <v>Sulcis10</v>
      </c>
      <c r="H57" s="28">
        <f t="shared" si="2"/>
        <v>7</v>
      </c>
      <c r="I57" s="28">
        <f t="shared" si="3"/>
        <v>65</v>
      </c>
      <c r="J57" s="8">
        <f t="shared" si="4"/>
        <v>0.89230769230769225</v>
      </c>
      <c r="K57" s="8">
        <f t="shared" si="5"/>
        <v>0.48366330336504448</v>
      </c>
      <c r="L57" s="29">
        <f t="shared" si="6"/>
        <v>3.0232881809983889E-3</v>
      </c>
      <c r="M57" s="30">
        <f>IF(E57=1,'00-BUDGET'!E$21*L57,'00-BUDGET'!F$21*L57)</f>
        <v>7979.0931160873961</v>
      </c>
      <c r="N57" s="8">
        <f>IF(E57=1,'00-BUDGET'!H$21*L57,'00-BUDGET'!I$21*L57)</f>
        <v>11968.639674131098</v>
      </c>
      <c r="O57" s="8">
        <f>IF(E57=1,'00-BUDGET'!K$21*L57,'00-BUDGET'!L$21*L57)</f>
        <v>15958.186232174801</v>
      </c>
    </row>
    <row r="58" spans="1:15" ht="75" x14ac:dyDescent="0.3">
      <c r="A58" s="5" t="str">
        <f t="shared" si="0"/>
        <v>AIAS-Carloforte11</v>
      </c>
      <c r="B58" s="26" t="s">
        <v>86</v>
      </c>
      <c r="C58" s="26" t="s">
        <v>29</v>
      </c>
      <c r="D58" s="26" t="s">
        <v>87</v>
      </c>
      <c r="E58" s="26">
        <v>11</v>
      </c>
      <c r="F58" s="8">
        <v>7.5018914422396707E-2</v>
      </c>
      <c r="G58" s="27" t="str">
        <f t="shared" si="1"/>
        <v>Sulcis11</v>
      </c>
      <c r="H58" s="28">
        <f t="shared" si="2"/>
        <v>7</v>
      </c>
      <c r="I58" s="28">
        <f t="shared" si="3"/>
        <v>56</v>
      </c>
      <c r="J58" s="8">
        <f t="shared" si="4"/>
        <v>0.875</v>
      </c>
      <c r="K58" s="8">
        <f t="shared" si="5"/>
        <v>0.47500945721119836</v>
      </c>
      <c r="L58" s="29">
        <f t="shared" si="6"/>
        <v>2.9691946191857102E-3</v>
      </c>
      <c r="M58" s="30">
        <f>IF(E58=1,'00-BUDGET'!E$21*L58,'00-BUDGET'!F$21*L58)</f>
        <v>7836.3288340064018</v>
      </c>
      <c r="N58" s="8">
        <f>IF(E58=1,'00-BUDGET'!H$21*L58,'00-BUDGET'!I$21*L58)</f>
        <v>11754.493251009606</v>
      </c>
      <c r="O58" s="8">
        <f>IF(E58=1,'00-BUDGET'!K$21*L58,'00-BUDGET'!L$21*L58)</f>
        <v>15672.657668012811</v>
      </c>
    </row>
    <row r="59" spans="1:15" ht="75" x14ac:dyDescent="0.3">
      <c r="A59" s="5" t="str">
        <f t="shared" si="0"/>
        <v>AIAS-Cortoghiana3</v>
      </c>
      <c r="B59" s="26" t="s">
        <v>86</v>
      </c>
      <c r="C59" s="26" t="s">
        <v>29</v>
      </c>
      <c r="D59" s="26" t="s">
        <v>88</v>
      </c>
      <c r="E59" s="26">
        <v>3</v>
      </c>
      <c r="F59" s="8">
        <v>7.5018914422396707E-2</v>
      </c>
      <c r="G59" s="27" t="str">
        <f t="shared" si="1"/>
        <v>Sulcis3</v>
      </c>
      <c r="H59" s="28">
        <f t="shared" si="2"/>
        <v>2</v>
      </c>
      <c r="I59" s="28">
        <f t="shared" si="3"/>
        <v>10</v>
      </c>
      <c r="J59" s="8">
        <f t="shared" si="4"/>
        <v>0.8</v>
      </c>
      <c r="K59" s="8">
        <f t="shared" si="5"/>
        <v>0.43750945721119838</v>
      </c>
      <c r="L59" s="29">
        <f t="shared" si="6"/>
        <v>2.7347891846641022E-3</v>
      </c>
      <c r="M59" s="30">
        <f>IF(E59=1,'00-BUDGET'!E$21*L59,'00-BUDGET'!F$21*L59)</f>
        <v>7217.6836116554214</v>
      </c>
      <c r="N59" s="8">
        <f>IF(E59=1,'00-BUDGET'!H$21*L59,'00-BUDGET'!I$21*L59)</f>
        <v>10826.525417483137</v>
      </c>
      <c r="O59" s="8">
        <f>IF(E59=1,'00-BUDGET'!K$21*L59,'00-BUDGET'!L$21*L59)</f>
        <v>14435.367223310852</v>
      </c>
    </row>
    <row r="60" spans="1:15" ht="75" x14ac:dyDescent="0.3">
      <c r="A60" s="5" t="str">
        <f t="shared" si="0"/>
        <v>AIAS-Cortoghiana5</v>
      </c>
      <c r="B60" s="26" t="s">
        <v>86</v>
      </c>
      <c r="C60" s="26" t="s">
        <v>29</v>
      </c>
      <c r="D60" s="26" t="s">
        <v>88</v>
      </c>
      <c r="E60" s="26">
        <v>5</v>
      </c>
      <c r="F60" s="8">
        <v>7.5018914422396707E-2</v>
      </c>
      <c r="G60" s="27" t="str">
        <f t="shared" si="1"/>
        <v>Sulcis5</v>
      </c>
      <c r="H60" s="28">
        <f t="shared" si="2"/>
        <v>4</v>
      </c>
      <c r="I60" s="28">
        <f t="shared" si="3"/>
        <v>23</v>
      </c>
      <c r="J60" s="8">
        <f t="shared" si="4"/>
        <v>0.82608695652173914</v>
      </c>
      <c r="K60" s="8">
        <f t="shared" si="5"/>
        <v>0.45055293547206793</v>
      </c>
      <c r="L60" s="29">
        <f t="shared" si="6"/>
        <v>2.8163215097150962E-3</v>
      </c>
      <c r="M60" s="30">
        <f>IF(E60=1,'00-BUDGET'!E$21*L60,'00-BUDGET'!F$21*L60)</f>
        <v>7432.8645585601098</v>
      </c>
      <c r="N60" s="8">
        <f>IF(E60=1,'00-BUDGET'!H$21*L60,'00-BUDGET'!I$21*L60)</f>
        <v>11149.296837840169</v>
      </c>
      <c r="O60" s="8">
        <f>IF(E60=1,'00-BUDGET'!K$21*L60,'00-BUDGET'!L$21*L60)</f>
        <v>14865.729117120229</v>
      </c>
    </row>
    <row r="61" spans="1:15" ht="75" x14ac:dyDescent="0.3">
      <c r="A61" s="5" t="str">
        <f t="shared" si="0"/>
        <v>AIAS-Cortoghiana8</v>
      </c>
      <c r="B61" s="26" t="s">
        <v>86</v>
      </c>
      <c r="C61" s="26" t="s">
        <v>29</v>
      </c>
      <c r="D61" s="26" t="s">
        <v>88</v>
      </c>
      <c r="E61" s="26">
        <v>8</v>
      </c>
      <c r="F61" s="8">
        <v>7.5018914422396707E-2</v>
      </c>
      <c r="G61" s="27" t="str">
        <f t="shared" si="1"/>
        <v>Sulcis8</v>
      </c>
      <c r="H61" s="28">
        <f t="shared" si="2"/>
        <v>8</v>
      </c>
      <c r="I61" s="28">
        <f t="shared" si="3"/>
        <v>67</v>
      </c>
      <c r="J61" s="8">
        <f t="shared" si="4"/>
        <v>0.88059701492537312</v>
      </c>
      <c r="K61" s="8">
        <f t="shared" si="5"/>
        <v>0.47780796467388492</v>
      </c>
      <c r="L61" s="29">
        <f t="shared" si="6"/>
        <v>2.9866875620604568E-3</v>
      </c>
      <c r="M61" s="30">
        <f>IF(E61=1,'00-BUDGET'!E$21*L61,'00-BUDGET'!F$21*L61)</f>
        <v>7882.4963879131901</v>
      </c>
      <c r="N61" s="8">
        <f>IF(E61=1,'00-BUDGET'!H$21*L61,'00-BUDGET'!I$21*L61)</f>
        <v>11823.744581869789</v>
      </c>
      <c r="O61" s="8">
        <f>IF(E61=1,'00-BUDGET'!K$21*L61,'00-BUDGET'!L$21*L61)</f>
        <v>15764.992775826389</v>
      </c>
    </row>
    <row r="62" spans="1:15" ht="75" x14ac:dyDescent="0.3">
      <c r="A62" s="5" t="str">
        <f t="shared" si="0"/>
        <v>AIAS-Cortoghiana9</v>
      </c>
      <c r="B62" s="26" t="s">
        <v>86</v>
      </c>
      <c r="C62" s="26" t="s">
        <v>29</v>
      </c>
      <c r="D62" s="26" t="s">
        <v>88</v>
      </c>
      <c r="E62" s="26">
        <v>9</v>
      </c>
      <c r="F62" s="8">
        <v>7.5018914422396707E-2</v>
      </c>
      <c r="G62" s="27" t="str">
        <f t="shared" si="1"/>
        <v>Sulcis9</v>
      </c>
      <c r="H62" s="28">
        <f t="shared" si="2"/>
        <v>7</v>
      </c>
      <c r="I62" s="28">
        <f t="shared" si="3"/>
        <v>60</v>
      </c>
      <c r="J62" s="8">
        <f t="shared" si="4"/>
        <v>0.8833333333333333</v>
      </c>
      <c r="K62" s="8">
        <f t="shared" si="5"/>
        <v>0.47917612387786501</v>
      </c>
      <c r="L62" s="29">
        <f t="shared" si="6"/>
        <v>2.9952396674658888E-3</v>
      </c>
      <c r="M62" s="30">
        <f>IF(E62=1,'00-BUDGET'!E$21*L62,'00-BUDGET'!F$21*L62)</f>
        <v>7905.0671920453988</v>
      </c>
      <c r="N62" s="8">
        <f>IF(E62=1,'00-BUDGET'!H$21*L62,'00-BUDGET'!I$21*L62)</f>
        <v>11857.600788068103</v>
      </c>
      <c r="O62" s="8">
        <f>IF(E62=1,'00-BUDGET'!K$21*L62,'00-BUDGET'!L$21*L62)</f>
        <v>15810.134384090807</v>
      </c>
    </row>
    <row r="63" spans="1:15" ht="75" x14ac:dyDescent="0.3">
      <c r="A63" s="5" t="str">
        <f t="shared" si="0"/>
        <v>AIAS-Cortoghiana10</v>
      </c>
      <c r="B63" s="26" t="s">
        <v>86</v>
      </c>
      <c r="C63" s="26" t="s">
        <v>29</v>
      </c>
      <c r="D63" s="26" t="s">
        <v>88</v>
      </c>
      <c r="E63" s="26">
        <v>10</v>
      </c>
      <c r="F63" s="8">
        <v>7.5018914422396707E-2</v>
      </c>
      <c r="G63" s="27" t="str">
        <f t="shared" si="1"/>
        <v>Sulcis10</v>
      </c>
      <c r="H63" s="28">
        <f t="shared" si="2"/>
        <v>7</v>
      </c>
      <c r="I63" s="28">
        <f t="shared" si="3"/>
        <v>65</v>
      </c>
      <c r="J63" s="8">
        <f t="shared" si="4"/>
        <v>0.89230769230769225</v>
      </c>
      <c r="K63" s="8">
        <f t="shared" si="5"/>
        <v>0.48366330336504448</v>
      </c>
      <c r="L63" s="29">
        <f t="shared" si="6"/>
        <v>3.0232881809983889E-3</v>
      </c>
      <c r="M63" s="30">
        <f>IF(E63=1,'00-BUDGET'!E$21*L63,'00-BUDGET'!F$21*L63)</f>
        <v>7979.0931160873961</v>
      </c>
      <c r="N63" s="8">
        <f>IF(E63=1,'00-BUDGET'!H$21*L63,'00-BUDGET'!I$21*L63)</f>
        <v>11968.639674131098</v>
      </c>
      <c r="O63" s="8">
        <f>IF(E63=1,'00-BUDGET'!K$21*L63,'00-BUDGET'!L$21*L63)</f>
        <v>15958.186232174801</v>
      </c>
    </row>
    <row r="64" spans="1:15" ht="75" x14ac:dyDescent="0.3">
      <c r="A64" s="5" t="str">
        <f t="shared" si="0"/>
        <v>AIAS-Cortoghiana11</v>
      </c>
      <c r="B64" s="26" t="s">
        <v>86</v>
      </c>
      <c r="C64" s="26" t="s">
        <v>29</v>
      </c>
      <c r="D64" s="26" t="s">
        <v>88</v>
      </c>
      <c r="E64" s="26">
        <v>11</v>
      </c>
      <c r="F64" s="8">
        <v>7.5018914422396707E-2</v>
      </c>
      <c r="G64" s="27" t="str">
        <f t="shared" si="1"/>
        <v>Sulcis11</v>
      </c>
      <c r="H64" s="28">
        <f t="shared" si="2"/>
        <v>7</v>
      </c>
      <c r="I64" s="28">
        <f t="shared" si="3"/>
        <v>56</v>
      </c>
      <c r="J64" s="8">
        <f t="shared" si="4"/>
        <v>0.875</v>
      </c>
      <c r="K64" s="8">
        <f t="shared" si="5"/>
        <v>0.47500945721119836</v>
      </c>
      <c r="L64" s="29">
        <f t="shared" si="6"/>
        <v>2.9691946191857102E-3</v>
      </c>
      <c r="M64" s="30">
        <f>IF(E64=1,'00-BUDGET'!E$21*L64,'00-BUDGET'!F$21*L64)</f>
        <v>7836.3288340064018</v>
      </c>
      <c r="N64" s="8">
        <f>IF(E64=1,'00-BUDGET'!H$21*L64,'00-BUDGET'!I$21*L64)</f>
        <v>11754.493251009606</v>
      </c>
      <c r="O64" s="8">
        <f>IF(E64=1,'00-BUDGET'!K$21*L64,'00-BUDGET'!L$21*L64)</f>
        <v>15672.657668012811</v>
      </c>
    </row>
    <row r="65" spans="1:15" ht="75" x14ac:dyDescent="0.3">
      <c r="A65" s="5" t="str">
        <f t="shared" si="0"/>
        <v>AIAS-Decimomannu2</v>
      </c>
      <c r="B65" s="26" t="s">
        <v>77</v>
      </c>
      <c r="C65" s="26" t="s">
        <v>29</v>
      </c>
      <c r="D65" s="26" t="s">
        <v>89</v>
      </c>
      <c r="E65" s="26">
        <v>2</v>
      </c>
      <c r="F65" s="8">
        <v>0.34343362439390401</v>
      </c>
      <c r="G65" s="27" t="str">
        <f t="shared" si="1"/>
        <v>Cagliari2</v>
      </c>
      <c r="H65" s="28">
        <f t="shared" si="2"/>
        <v>1</v>
      </c>
      <c r="I65" s="28">
        <f t="shared" si="3"/>
        <v>5</v>
      </c>
      <c r="J65" s="8">
        <f t="shared" si="4"/>
        <v>0.8</v>
      </c>
      <c r="K65" s="8">
        <f t="shared" si="5"/>
        <v>0.57171681219695203</v>
      </c>
      <c r="L65" s="29">
        <f t="shared" si="6"/>
        <v>3.5736940743022697E-3</v>
      </c>
      <c r="M65" s="30">
        <f>IF(E65=1,'00-BUDGET'!E$21*L65,'00-BUDGET'!F$21*L65)</f>
        <v>9431.7299840900469</v>
      </c>
      <c r="N65" s="8">
        <f>IF(E65=1,'00-BUDGET'!H$21*L65,'00-BUDGET'!I$21*L65)</f>
        <v>14147.594976135075</v>
      </c>
      <c r="O65" s="8">
        <f>IF(E65=1,'00-BUDGET'!K$21*L65,'00-BUDGET'!L$21*L65)</f>
        <v>18863.459968180105</v>
      </c>
    </row>
    <row r="66" spans="1:15" ht="75" x14ac:dyDescent="0.3">
      <c r="A66" s="5" t="str">
        <f t="shared" ref="A66:A129" si="7">CONCATENATE(D66,E66)</f>
        <v>AIAS-Decimomannu3</v>
      </c>
      <c r="B66" s="26" t="s">
        <v>77</v>
      </c>
      <c r="C66" s="26" t="s">
        <v>29</v>
      </c>
      <c r="D66" s="26" t="s">
        <v>89</v>
      </c>
      <c r="E66" s="26">
        <v>3</v>
      </c>
      <c r="F66" s="8">
        <v>0.34343362439390401</v>
      </c>
      <c r="G66" s="27" t="str">
        <f t="shared" ref="G66:G129" si="8">CONCATENATE(B66,E66)</f>
        <v>Cagliari3</v>
      </c>
      <c r="H66" s="28">
        <f t="shared" ref="H66:H129" si="9">COUNTIF(G$2:G$398,G66)</f>
        <v>4</v>
      </c>
      <c r="I66" s="28">
        <f t="shared" ref="I66:I129" si="10">COUNTIF(E$2:E$398,E66)</f>
        <v>10</v>
      </c>
      <c r="J66" s="8">
        <f t="shared" ref="J66:J129" si="11">IF(1-(H66/I66)=0,1,1-(H66/I66))</f>
        <v>0.6</v>
      </c>
      <c r="K66" s="8">
        <f t="shared" ref="K66:K129" si="12">AVERAGE(J66,F66)</f>
        <v>0.471716812196952</v>
      </c>
      <c r="L66" s="29">
        <f t="shared" ref="L66:L129" si="13">K66/IF(E66=1,SUMIF(E$2:E$398,"=1",K$2:K$398),SUMIF(E$2:E$398,"&lt;&gt;1",K$2:K$398))</f>
        <v>2.9486129155779812E-3</v>
      </c>
      <c r="M66" s="30">
        <f>IF(E66=1,'00-BUDGET'!E$21*L66,'00-BUDGET'!F$21*L66)</f>
        <v>7782.0093911540998</v>
      </c>
      <c r="N66" s="8">
        <f>IF(E66=1,'00-BUDGET'!H$21*L66,'00-BUDGET'!I$21*L66)</f>
        <v>11673.014086731153</v>
      </c>
      <c r="O66" s="8">
        <f>IF(E66=1,'00-BUDGET'!K$21*L66,'00-BUDGET'!L$21*L66)</f>
        <v>15564.018782308207</v>
      </c>
    </row>
    <row r="67" spans="1:15" ht="75" x14ac:dyDescent="0.3">
      <c r="A67" s="5" t="str">
        <f t="shared" si="7"/>
        <v>AIAS-Decimomannu5</v>
      </c>
      <c r="B67" s="26" t="s">
        <v>77</v>
      </c>
      <c r="C67" s="26" t="s">
        <v>29</v>
      </c>
      <c r="D67" s="26" t="s">
        <v>89</v>
      </c>
      <c r="E67" s="26">
        <v>5</v>
      </c>
      <c r="F67" s="8">
        <v>0.34343362439390401</v>
      </c>
      <c r="G67" s="27" t="str">
        <f t="shared" si="8"/>
        <v>Cagliari5</v>
      </c>
      <c r="H67" s="28">
        <f t="shared" si="9"/>
        <v>11</v>
      </c>
      <c r="I67" s="28">
        <f t="shared" si="10"/>
        <v>23</v>
      </c>
      <c r="J67" s="8">
        <f t="shared" si="11"/>
        <v>0.52173913043478259</v>
      </c>
      <c r="K67" s="8">
        <f t="shared" si="12"/>
        <v>0.4325863774143433</v>
      </c>
      <c r="L67" s="29">
        <f t="shared" si="13"/>
        <v>2.7040159404249993E-3</v>
      </c>
      <c r="M67" s="30">
        <f>IF(E67=1,'00-BUDGET'!E$21*L67,'00-BUDGET'!F$21*L67)</f>
        <v>7136.4665504400346</v>
      </c>
      <c r="N67" s="8">
        <f>IF(E67=1,'00-BUDGET'!H$21*L67,'00-BUDGET'!I$21*L67)</f>
        <v>10704.699825660056</v>
      </c>
      <c r="O67" s="8">
        <f>IF(E67=1,'00-BUDGET'!K$21*L67,'00-BUDGET'!L$21*L67)</f>
        <v>14272.933100880076</v>
      </c>
    </row>
    <row r="68" spans="1:15" ht="75" x14ac:dyDescent="0.3">
      <c r="A68" s="5" t="str">
        <f t="shared" si="7"/>
        <v>AIAS-Decimomannu7</v>
      </c>
      <c r="B68" s="26" t="s">
        <v>77</v>
      </c>
      <c r="C68" s="26" t="s">
        <v>29</v>
      </c>
      <c r="D68" s="26" t="s">
        <v>89</v>
      </c>
      <c r="E68" s="26">
        <v>7</v>
      </c>
      <c r="F68" s="8">
        <v>0.34343362439390401</v>
      </c>
      <c r="G68" s="27" t="str">
        <f t="shared" si="8"/>
        <v>Cagliari7</v>
      </c>
      <c r="H68" s="28">
        <f t="shared" si="9"/>
        <v>15</v>
      </c>
      <c r="I68" s="28">
        <f t="shared" si="10"/>
        <v>32</v>
      </c>
      <c r="J68" s="8">
        <f t="shared" si="11"/>
        <v>0.53125</v>
      </c>
      <c r="K68" s="8">
        <f t="shared" si="12"/>
        <v>0.43734181219695201</v>
      </c>
      <c r="L68" s="29">
        <f t="shared" si="13"/>
        <v>2.7337412672665076E-3</v>
      </c>
      <c r="M68" s="30">
        <f>IF(E68=1,'00-BUDGET'!E$21*L68,'00-BUDGET'!F$21*L68)</f>
        <v>7214.9179373323695</v>
      </c>
      <c r="N68" s="8">
        <f>IF(E68=1,'00-BUDGET'!H$21*L68,'00-BUDGET'!I$21*L68)</f>
        <v>10822.376905998557</v>
      </c>
      <c r="O68" s="8">
        <f>IF(E68=1,'00-BUDGET'!K$21*L68,'00-BUDGET'!L$21*L68)</f>
        <v>14429.835874664746</v>
      </c>
    </row>
    <row r="69" spans="1:15" ht="75" x14ac:dyDescent="0.3">
      <c r="A69" s="5" t="str">
        <f t="shared" si="7"/>
        <v>AIAS-Decimomannu8</v>
      </c>
      <c r="B69" s="26" t="s">
        <v>77</v>
      </c>
      <c r="C69" s="26" t="s">
        <v>29</v>
      </c>
      <c r="D69" s="26" t="s">
        <v>89</v>
      </c>
      <c r="E69" s="26">
        <v>8</v>
      </c>
      <c r="F69" s="8">
        <v>0.34343362439390401</v>
      </c>
      <c r="G69" s="27" t="str">
        <f t="shared" si="8"/>
        <v>Cagliari8</v>
      </c>
      <c r="H69" s="28">
        <f t="shared" si="9"/>
        <v>26</v>
      </c>
      <c r="I69" s="28">
        <f t="shared" si="10"/>
        <v>67</v>
      </c>
      <c r="J69" s="8">
        <f t="shared" si="11"/>
        <v>0.61194029850746268</v>
      </c>
      <c r="K69" s="8">
        <f t="shared" si="12"/>
        <v>0.47768696145068335</v>
      </c>
      <c r="L69" s="29">
        <f t="shared" si="13"/>
        <v>2.9859311937107747E-3</v>
      </c>
      <c r="M69" s="30">
        <f>IF(E69=1,'00-BUDGET'!E$21*L69,'00-BUDGET'!F$21*L69)</f>
        <v>7880.5001728219177</v>
      </c>
      <c r="N69" s="8">
        <f>IF(E69=1,'00-BUDGET'!H$21*L69,'00-BUDGET'!I$21*L69)</f>
        <v>11820.75025923288</v>
      </c>
      <c r="O69" s="8">
        <f>IF(E69=1,'00-BUDGET'!K$21*L69,'00-BUDGET'!L$21*L69)</f>
        <v>15761.000345643844</v>
      </c>
    </row>
    <row r="70" spans="1:15" ht="75" x14ac:dyDescent="0.3">
      <c r="A70" s="5" t="str">
        <f t="shared" si="7"/>
        <v>AIAS-Decimomannu9</v>
      </c>
      <c r="B70" s="26" t="s">
        <v>77</v>
      </c>
      <c r="C70" s="26" t="s">
        <v>29</v>
      </c>
      <c r="D70" s="26" t="s">
        <v>89</v>
      </c>
      <c r="E70" s="26">
        <v>9</v>
      </c>
      <c r="F70" s="8">
        <v>0.34343362439390401</v>
      </c>
      <c r="G70" s="27" t="str">
        <f t="shared" si="8"/>
        <v>Cagliari9</v>
      </c>
      <c r="H70" s="28">
        <f t="shared" si="9"/>
        <v>22</v>
      </c>
      <c r="I70" s="28">
        <f t="shared" si="10"/>
        <v>60</v>
      </c>
      <c r="J70" s="8">
        <f t="shared" si="11"/>
        <v>0.6333333333333333</v>
      </c>
      <c r="K70" s="8">
        <f t="shared" si="12"/>
        <v>0.48838347886361866</v>
      </c>
      <c r="L70" s="29">
        <f t="shared" si="13"/>
        <v>3.0527931086986961E-3</v>
      </c>
      <c r="M70" s="30">
        <f>IF(E70=1,'00-BUDGET'!E$21*L70,'00-BUDGET'!F$21*L70)</f>
        <v>8056.9628233100912</v>
      </c>
      <c r="N70" s="8">
        <f>IF(E70=1,'00-BUDGET'!H$21*L70,'00-BUDGET'!I$21*L70)</f>
        <v>12085.444234965142</v>
      </c>
      <c r="O70" s="8">
        <f>IF(E70=1,'00-BUDGET'!K$21*L70,'00-BUDGET'!L$21*L70)</f>
        <v>16113.925646620191</v>
      </c>
    </row>
    <row r="71" spans="1:15" ht="75" x14ac:dyDescent="0.3">
      <c r="A71" s="5" t="str">
        <f t="shared" si="7"/>
        <v>AIAS-Decimomannu10</v>
      </c>
      <c r="B71" s="26" t="s">
        <v>77</v>
      </c>
      <c r="C71" s="26" t="s">
        <v>29</v>
      </c>
      <c r="D71" s="26" t="s">
        <v>89</v>
      </c>
      <c r="E71" s="26">
        <v>10</v>
      </c>
      <c r="F71" s="8">
        <v>0.34343362439390401</v>
      </c>
      <c r="G71" s="27" t="str">
        <f t="shared" si="8"/>
        <v>Cagliari10</v>
      </c>
      <c r="H71" s="28">
        <f t="shared" si="9"/>
        <v>26</v>
      </c>
      <c r="I71" s="28">
        <f t="shared" si="10"/>
        <v>65</v>
      </c>
      <c r="J71" s="8">
        <f t="shared" si="11"/>
        <v>0.6</v>
      </c>
      <c r="K71" s="8">
        <f t="shared" si="12"/>
        <v>0.471716812196952</v>
      </c>
      <c r="L71" s="29">
        <f t="shared" si="13"/>
        <v>2.9486129155779812E-3</v>
      </c>
      <c r="M71" s="30">
        <f>IF(E71=1,'00-BUDGET'!E$21*L71,'00-BUDGET'!F$21*L71)</f>
        <v>7782.0093911540998</v>
      </c>
      <c r="N71" s="8">
        <f>IF(E71=1,'00-BUDGET'!H$21*L71,'00-BUDGET'!I$21*L71)</f>
        <v>11673.014086731153</v>
      </c>
      <c r="O71" s="8">
        <f>IF(E71=1,'00-BUDGET'!K$21*L71,'00-BUDGET'!L$21*L71)</f>
        <v>15564.018782308207</v>
      </c>
    </row>
    <row r="72" spans="1:15" ht="75" x14ac:dyDescent="0.3">
      <c r="A72" s="5" t="str">
        <f t="shared" si="7"/>
        <v>AIAS-Decimomannu11</v>
      </c>
      <c r="B72" s="26" t="s">
        <v>77</v>
      </c>
      <c r="C72" s="26" t="s">
        <v>29</v>
      </c>
      <c r="D72" s="26" t="s">
        <v>89</v>
      </c>
      <c r="E72" s="26">
        <v>11</v>
      </c>
      <c r="F72" s="8">
        <v>0.34343362439390401</v>
      </c>
      <c r="G72" s="27" t="str">
        <f t="shared" si="8"/>
        <v>Cagliari11</v>
      </c>
      <c r="H72" s="28">
        <f t="shared" si="9"/>
        <v>19</v>
      </c>
      <c r="I72" s="28">
        <f t="shared" si="10"/>
        <v>56</v>
      </c>
      <c r="J72" s="8">
        <f t="shared" si="11"/>
        <v>0.6607142857142857</v>
      </c>
      <c r="K72" s="8">
        <f t="shared" si="12"/>
        <v>0.50207395505409491</v>
      </c>
      <c r="L72" s="29">
        <f t="shared" si="13"/>
        <v>3.1383696959049979E-3</v>
      </c>
      <c r="M72" s="30">
        <f>IF(E72=1,'00-BUDGET'!E$21*L72,'00-BUDGET'!F$21*L72)</f>
        <v>8282.8174282953714</v>
      </c>
      <c r="N72" s="8">
        <f>IF(E72=1,'00-BUDGET'!H$21*L72,'00-BUDGET'!I$21*L72)</f>
        <v>12424.22614244306</v>
      </c>
      <c r="O72" s="8">
        <f>IF(E72=1,'00-BUDGET'!K$21*L72,'00-BUDGET'!L$21*L72)</f>
        <v>16565.63485659075</v>
      </c>
    </row>
    <row r="73" spans="1:15" ht="75" x14ac:dyDescent="0.3">
      <c r="A73" s="5" t="str">
        <f t="shared" si="7"/>
        <v>AIAS-Domusnovas2</v>
      </c>
      <c r="B73" s="26" t="s">
        <v>86</v>
      </c>
      <c r="C73" s="26" t="s">
        <v>29</v>
      </c>
      <c r="D73" s="26" t="s">
        <v>90</v>
      </c>
      <c r="E73" s="26">
        <v>2</v>
      </c>
      <c r="F73" s="8">
        <v>7.5018914422396707E-2</v>
      </c>
      <c r="G73" s="27" t="str">
        <f t="shared" si="8"/>
        <v>Sulcis2</v>
      </c>
      <c r="H73" s="28">
        <f t="shared" si="9"/>
        <v>1</v>
      </c>
      <c r="I73" s="28">
        <f t="shared" si="10"/>
        <v>5</v>
      </c>
      <c r="J73" s="8">
        <f t="shared" si="11"/>
        <v>0.8</v>
      </c>
      <c r="K73" s="8">
        <f t="shared" si="12"/>
        <v>0.43750945721119838</v>
      </c>
      <c r="L73" s="29">
        <f t="shared" si="13"/>
        <v>2.7347891846641022E-3</v>
      </c>
      <c r="M73" s="30">
        <f>IF(E73=1,'00-BUDGET'!E$21*L73,'00-BUDGET'!F$21*L73)</f>
        <v>7217.6836116554214</v>
      </c>
      <c r="N73" s="8">
        <f>IF(E73=1,'00-BUDGET'!H$21*L73,'00-BUDGET'!I$21*L73)</f>
        <v>10826.525417483137</v>
      </c>
      <c r="O73" s="8">
        <f>IF(E73=1,'00-BUDGET'!K$21*L73,'00-BUDGET'!L$21*L73)</f>
        <v>14435.367223310852</v>
      </c>
    </row>
    <row r="74" spans="1:15" ht="75" x14ac:dyDescent="0.3">
      <c r="A74" s="5" t="str">
        <f t="shared" si="7"/>
        <v>AIAS-Domusnovas3</v>
      </c>
      <c r="B74" s="26" t="s">
        <v>86</v>
      </c>
      <c r="C74" s="26" t="s">
        <v>29</v>
      </c>
      <c r="D74" s="26" t="s">
        <v>90</v>
      </c>
      <c r="E74" s="26">
        <v>3</v>
      </c>
      <c r="F74" s="8">
        <v>7.5018914422396707E-2</v>
      </c>
      <c r="G74" s="27" t="str">
        <f t="shared" si="8"/>
        <v>Sulcis3</v>
      </c>
      <c r="H74" s="28">
        <f t="shared" si="9"/>
        <v>2</v>
      </c>
      <c r="I74" s="28">
        <f t="shared" si="10"/>
        <v>10</v>
      </c>
      <c r="J74" s="8">
        <f t="shared" si="11"/>
        <v>0.8</v>
      </c>
      <c r="K74" s="8">
        <f t="shared" si="12"/>
        <v>0.43750945721119838</v>
      </c>
      <c r="L74" s="29">
        <f t="shared" si="13"/>
        <v>2.7347891846641022E-3</v>
      </c>
      <c r="M74" s="30">
        <f>IF(E74=1,'00-BUDGET'!E$21*L74,'00-BUDGET'!F$21*L74)</f>
        <v>7217.6836116554214</v>
      </c>
      <c r="N74" s="8">
        <f>IF(E74=1,'00-BUDGET'!H$21*L74,'00-BUDGET'!I$21*L74)</f>
        <v>10826.525417483137</v>
      </c>
      <c r="O74" s="8">
        <f>IF(E74=1,'00-BUDGET'!K$21*L74,'00-BUDGET'!L$21*L74)</f>
        <v>14435.367223310852</v>
      </c>
    </row>
    <row r="75" spans="1:15" ht="75" x14ac:dyDescent="0.3">
      <c r="A75" s="5" t="str">
        <f t="shared" si="7"/>
        <v>AIAS-Domusnovas5</v>
      </c>
      <c r="B75" s="26" t="s">
        <v>86</v>
      </c>
      <c r="C75" s="26" t="s">
        <v>29</v>
      </c>
      <c r="D75" s="26" t="s">
        <v>90</v>
      </c>
      <c r="E75" s="26">
        <v>5</v>
      </c>
      <c r="F75" s="8">
        <v>7.5018914422396707E-2</v>
      </c>
      <c r="G75" s="27" t="str">
        <f t="shared" si="8"/>
        <v>Sulcis5</v>
      </c>
      <c r="H75" s="28">
        <f t="shared" si="9"/>
        <v>4</v>
      </c>
      <c r="I75" s="28">
        <f t="shared" si="10"/>
        <v>23</v>
      </c>
      <c r="J75" s="8">
        <f t="shared" si="11"/>
        <v>0.82608695652173914</v>
      </c>
      <c r="K75" s="8">
        <f t="shared" si="12"/>
        <v>0.45055293547206793</v>
      </c>
      <c r="L75" s="29">
        <f t="shared" si="13"/>
        <v>2.8163215097150962E-3</v>
      </c>
      <c r="M75" s="30">
        <f>IF(E75=1,'00-BUDGET'!E$21*L75,'00-BUDGET'!F$21*L75)</f>
        <v>7432.8645585601098</v>
      </c>
      <c r="N75" s="8">
        <f>IF(E75=1,'00-BUDGET'!H$21*L75,'00-BUDGET'!I$21*L75)</f>
        <v>11149.296837840169</v>
      </c>
      <c r="O75" s="8">
        <f>IF(E75=1,'00-BUDGET'!K$21*L75,'00-BUDGET'!L$21*L75)</f>
        <v>14865.729117120229</v>
      </c>
    </row>
    <row r="76" spans="1:15" ht="75" x14ac:dyDescent="0.3">
      <c r="A76" s="5" t="str">
        <f t="shared" si="7"/>
        <v>AIAS-Domusnovas8</v>
      </c>
      <c r="B76" s="26" t="s">
        <v>86</v>
      </c>
      <c r="C76" s="26" t="s">
        <v>29</v>
      </c>
      <c r="D76" s="26" t="s">
        <v>90</v>
      </c>
      <c r="E76" s="26">
        <v>8</v>
      </c>
      <c r="F76" s="8">
        <v>7.5018914422396707E-2</v>
      </c>
      <c r="G76" s="27" t="str">
        <f t="shared" si="8"/>
        <v>Sulcis8</v>
      </c>
      <c r="H76" s="28">
        <f t="shared" si="9"/>
        <v>8</v>
      </c>
      <c r="I76" s="28">
        <f t="shared" si="10"/>
        <v>67</v>
      </c>
      <c r="J76" s="8">
        <f t="shared" si="11"/>
        <v>0.88059701492537312</v>
      </c>
      <c r="K76" s="8">
        <f t="shared" si="12"/>
        <v>0.47780796467388492</v>
      </c>
      <c r="L76" s="29">
        <f t="shared" si="13"/>
        <v>2.9866875620604568E-3</v>
      </c>
      <c r="M76" s="30">
        <f>IF(E76=1,'00-BUDGET'!E$21*L76,'00-BUDGET'!F$21*L76)</f>
        <v>7882.4963879131901</v>
      </c>
      <c r="N76" s="8">
        <f>IF(E76=1,'00-BUDGET'!H$21*L76,'00-BUDGET'!I$21*L76)</f>
        <v>11823.744581869789</v>
      </c>
      <c r="O76" s="8">
        <f>IF(E76=1,'00-BUDGET'!K$21*L76,'00-BUDGET'!L$21*L76)</f>
        <v>15764.992775826389</v>
      </c>
    </row>
    <row r="77" spans="1:15" ht="75" x14ac:dyDescent="0.3">
      <c r="A77" s="5" t="str">
        <f t="shared" si="7"/>
        <v>AIAS-Domusnovas9</v>
      </c>
      <c r="B77" s="26" t="s">
        <v>86</v>
      </c>
      <c r="C77" s="26" t="s">
        <v>29</v>
      </c>
      <c r="D77" s="26" t="s">
        <v>90</v>
      </c>
      <c r="E77" s="26">
        <v>9</v>
      </c>
      <c r="F77" s="8">
        <v>7.5018914422396707E-2</v>
      </c>
      <c r="G77" s="27" t="str">
        <f t="shared" si="8"/>
        <v>Sulcis9</v>
      </c>
      <c r="H77" s="28">
        <f t="shared" si="9"/>
        <v>7</v>
      </c>
      <c r="I77" s="28">
        <f t="shared" si="10"/>
        <v>60</v>
      </c>
      <c r="J77" s="8">
        <f t="shared" si="11"/>
        <v>0.8833333333333333</v>
      </c>
      <c r="K77" s="8">
        <f t="shared" si="12"/>
        <v>0.47917612387786501</v>
      </c>
      <c r="L77" s="29">
        <f t="shared" si="13"/>
        <v>2.9952396674658888E-3</v>
      </c>
      <c r="M77" s="30">
        <f>IF(E77=1,'00-BUDGET'!E$21*L77,'00-BUDGET'!F$21*L77)</f>
        <v>7905.0671920453988</v>
      </c>
      <c r="N77" s="8">
        <f>IF(E77=1,'00-BUDGET'!H$21*L77,'00-BUDGET'!I$21*L77)</f>
        <v>11857.600788068103</v>
      </c>
      <c r="O77" s="8">
        <f>IF(E77=1,'00-BUDGET'!K$21*L77,'00-BUDGET'!L$21*L77)</f>
        <v>15810.134384090807</v>
      </c>
    </row>
    <row r="78" spans="1:15" ht="75" x14ac:dyDescent="0.3">
      <c r="A78" s="5" t="str">
        <f t="shared" si="7"/>
        <v>AIAS-Domusnovas10</v>
      </c>
      <c r="B78" s="26" t="s">
        <v>86</v>
      </c>
      <c r="C78" s="26" t="s">
        <v>29</v>
      </c>
      <c r="D78" s="26" t="s">
        <v>90</v>
      </c>
      <c r="E78" s="26">
        <v>10</v>
      </c>
      <c r="F78" s="8">
        <v>7.5018914422396707E-2</v>
      </c>
      <c r="G78" s="27" t="str">
        <f t="shared" si="8"/>
        <v>Sulcis10</v>
      </c>
      <c r="H78" s="28">
        <f t="shared" si="9"/>
        <v>7</v>
      </c>
      <c r="I78" s="28">
        <f t="shared" si="10"/>
        <v>65</v>
      </c>
      <c r="J78" s="8">
        <f t="shared" si="11"/>
        <v>0.89230769230769225</v>
      </c>
      <c r="K78" s="8">
        <f t="shared" si="12"/>
        <v>0.48366330336504448</v>
      </c>
      <c r="L78" s="29">
        <f t="shared" si="13"/>
        <v>3.0232881809983889E-3</v>
      </c>
      <c r="M78" s="30">
        <f>IF(E78=1,'00-BUDGET'!E$21*L78,'00-BUDGET'!F$21*L78)</f>
        <v>7979.0931160873961</v>
      </c>
      <c r="N78" s="8">
        <f>IF(E78=1,'00-BUDGET'!H$21*L78,'00-BUDGET'!I$21*L78)</f>
        <v>11968.639674131098</v>
      </c>
      <c r="O78" s="8">
        <f>IF(E78=1,'00-BUDGET'!K$21*L78,'00-BUDGET'!L$21*L78)</f>
        <v>15958.186232174801</v>
      </c>
    </row>
    <row r="79" spans="1:15" ht="75" x14ac:dyDescent="0.3">
      <c r="A79" s="5" t="str">
        <f t="shared" si="7"/>
        <v>AIAS-Domusnovas11</v>
      </c>
      <c r="B79" s="26" t="s">
        <v>86</v>
      </c>
      <c r="C79" s="26" t="s">
        <v>29</v>
      </c>
      <c r="D79" s="26" t="s">
        <v>90</v>
      </c>
      <c r="E79" s="26">
        <v>11</v>
      </c>
      <c r="F79" s="8">
        <v>7.5018914422396707E-2</v>
      </c>
      <c r="G79" s="27" t="str">
        <f t="shared" si="8"/>
        <v>Sulcis11</v>
      </c>
      <c r="H79" s="28">
        <f t="shared" si="9"/>
        <v>7</v>
      </c>
      <c r="I79" s="28">
        <f t="shared" si="10"/>
        <v>56</v>
      </c>
      <c r="J79" s="8">
        <f t="shared" si="11"/>
        <v>0.875</v>
      </c>
      <c r="K79" s="8">
        <f t="shared" si="12"/>
        <v>0.47500945721119836</v>
      </c>
      <c r="L79" s="29">
        <f t="shared" si="13"/>
        <v>2.9691946191857102E-3</v>
      </c>
      <c r="M79" s="30">
        <f>IF(E79=1,'00-BUDGET'!E$21*L79,'00-BUDGET'!F$21*L79)</f>
        <v>7836.3288340064018</v>
      </c>
      <c r="N79" s="8">
        <f>IF(E79=1,'00-BUDGET'!H$21*L79,'00-BUDGET'!I$21*L79)</f>
        <v>11754.493251009606</v>
      </c>
      <c r="O79" s="8">
        <f>IF(E79=1,'00-BUDGET'!K$21*L79,'00-BUDGET'!L$21*L79)</f>
        <v>15672.657668012811</v>
      </c>
    </row>
    <row r="80" spans="1:15" ht="75" x14ac:dyDescent="0.3">
      <c r="A80" s="5" t="str">
        <f t="shared" si="7"/>
        <v>AIAS-Iglesias7</v>
      </c>
      <c r="B80" s="26" t="s">
        <v>86</v>
      </c>
      <c r="C80" s="26" t="s">
        <v>29</v>
      </c>
      <c r="D80" s="26" t="s">
        <v>91</v>
      </c>
      <c r="E80" s="26">
        <v>7</v>
      </c>
      <c r="F80" s="8">
        <v>7.5018914422396707E-2</v>
      </c>
      <c r="G80" s="27" t="str">
        <f t="shared" si="8"/>
        <v>Sulcis7</v>
      </c>
      <c r="H80" s="28">
        <f t="shared" si="9"/>
        <v>3</v>
      </c>
      <c r="I80" s="28">
        <f t="shared" si="10"/>
        <v>32</v>
      </c>
      <c r="J80" s="8">
        <f t="shared" si="11"/>
        <v>0.90625</v>
      </c>
      <c r="K80" s="8">
        <f t="shared" si="12"/>
        <v>0.49063445721119836</v>
      </c>
      <c r="L80" s="29">
        <f t="shared" si="13"/>
        <v>3.0668635502363803E-3</v>
      </c>
      <c r="M80" s="30">
        <f>IF(E80=1,'00-BUDGET'!E$21*L80,'00-BUDGET'!F$21*L80)</f>
        <v>8094.0976766526437</v>
      </c>
      <c r="N80" s="8">
        <f>IF(E80=1,'00-BUDGET'!H$21*L80,'00-BUDGET'!I$21*L80)</f>
        <v>12141.146514978969</v>
      </c>
      <c r="O80" s="8">
        <f>IF(E80=1,'00-BUDGET'!K$21*L80,'00-BUDGET'!L$21*L80)</f>
        <v>16188.195353305295</v>
      </c>
    </row>
    <row r="81" spans="1:15" ht="75" x14ac:dyDescent="0.3">
      <c r="A81" s="5" t="str">
        <f t="shared" si="7"/>
        <v>AIAS-Iglesias8</v>
      </c>
      <c r="B81" s="26" t="s">
        <v>86</v>
      </c>
      <c r="C81" s="26" t="s">
        <v>29</v>
      </c>
      <c r="D81" s="26" t="s">
        <v>91</v>
      </c>
      <c r="E81" s="26">
        <v>8</v>
      </c>
      <c r="F81" s="8">
        <v>7.5018914422396707E-2</v>
      </c>
      <c r="G81" s="27" t="str">
        <f t="shared" si="8"/>
        <v>Sulcis8</v>
      </c>
      <c r="H81" s="28">
        <f t="shared" si="9"/>
        <v>8</v>
      </c>
      <c r="I81" s="28">
        <f t="shared" si="10"/>
        <v>67</v>
      </c>
      <c r="J81" s="8">
        <f t="shared" si="11"/>
        <v>0.88059701492537312</v>
      </c>
      <c r="K81" s="8">
        <f t="shared" si="12"/>
        <v>0.47780796467388492</v>
      </c>
      <c r="L81" s="29">
        <f t="shared" si="13"/>
        <v>2.9866875620604568E-3</v>
      </c>
      <c r="M81" s="30">
        <f>IF(E81=1,'00-BUDGET'!E$21*L81,'00-BUDGET'!F$21*L81)</f>
        <v>7882.4963879131901</v>
      </c>
      <c r="N81" s="8">
        <f>IF(E81=1,'00-BUDGET'!H$21*L81,'00-BUDGET'!I$21*L81)</f>
        <v>11823.744581869789</v>
      </c>
      <c r="O81" s="8">
        <f>IF(E81=1,'00-BUDGET'!K$21*L81,'00-BUDGET'!L$21*L81)</f>
        <v>15764.992775826389</v>
      </c>
    </row>
    <row r="82" spans="1:15" ht="75" x14ac:dyDescent="0.3">
      <c r="A82" s="5" t="str">
        <f t="shared" si="7"/>
        <v>AIAS-Iglesias9</v>
      </c>
      <c r="B82" s="26" t="s">
        <v>86</v>
      </c>
      <c r="C82" s="26" t="s">
        <v>29</v>
      </c>
      <c r="D82" s="26" t="s">
        <v>91</v>
      </c>
      <c r="E82" s="26">
        <v>9</v>
      </c>
      <c r="F82" s="8">
        <v>7.5018914422396707E-2</v>
      </c>
      <c r="G82" s="27" t="str">
        <f t="shared" si="8"/>
        <v>Sulcis9</v>
      </c>
      <c r="H82" s="28">
        <f t="shared" si="9"/>
        <v>7</v>
      </c>
      <c r="I82" s="28">
        <f t="shared" si="10"/>
        <v>60</v>
      </c>
      <c r="J82" s="8">
        <f t="shared" si="11"/>
        <v>0.8833333333333333</v>
      </c>
      <c r="K82" s="8">
        <f t="shared" si="12"/>
        <v>0.47917612387786501</v>
      </c>
      <c r="L82" s="29">
        <f t="shared" si="13"/>
        <v>2.9952396674658888E-3</v>
      </c>
      <c r="M82" s="30">
        <f>IF(E82=1,'00-BUDGET'!E$21*L82,'00-BUDGET'!F$21*L82)</f>
        <v>7905.0671920453988</v>
      </c>
      <c r="N82" s="8">
        <f>IF(E82=1,'00-BUDGET'!H$21*L82,'00-BUDGET'!I$21*L82)</f>
        <v>11857.600788068103</v>
      </c>
      <c r="O82" s="8">
        <f>IF(E82=1,'00-BUDGET'!K$21*L82,'00-BUDGET'!L$21*L82)</f>
        <v>15810.134384090807</v>
      </c>
    </row>
    <row r="83" spans="1:15" ht="75" x14ac:dyDescent="0.3">
      <c r="A83" s="5" t="str">
        <f t="shared" si="7"/>
        <v>AIAS-Iglesias10</v>
      </c>
      <c r="B83" s="26" t="s">
        <v>86</v>
      </c>
      <c r="C83" s="26" t="s">
        <v>29</v>
      </c>
      <c r="D83" s="26" t="s">
        <v>91</v>
      </c>
      <c r="E83" s="26">
        <v>10</v>
      </c>
      <c r="F83" s="8">
        <v>7.5018914422396707E-2</v>
      </c>
      <c r="G83" s="27" t="str">
        <f t="shared" si="8"/>
        <v>Sulcis10</v>
      </c>
      <c r="H83" s="28">
        <f t="shared" si="9"/>
        <v>7</v>
      </c>
      <c r="I83" s="28">
        <f t="shared" si="10"/>
        <v>65</v>
      </c>
      <c r="J83" s="8">
        <f t="shared" si="11"/>
        <v>0.89230769230769225</v>
      </c>
      <c r="K83" s="8">
        <f t="shared" si="12"/>
        <v>0.48366330336504448</v>
      </c>
      <c r="L83" s="29">
        <f t="shared" si="13"/>
        <v>3.0232881809983889E-3</v>
      </c>
      <c r="M83" s="30">
        <f>IF(E83=1,'00-BUDGET'!E$21*L83,'00-BUDGET'!F$21*L83)</f>
        <v>7979.0931160873961</v>
      </c>
      <c r="N83" s="8">
        <f>IF(E83=1,'00-BUDGET'!H$21*L83,'00-BUDGET'!I$21*L83)</f>
        <v>11968.639674131098</v>
      </c>
      <c r="O83" s="8">
        <f>IF(E83=1,'00-BUDGET'!K$21*L83,'00-BUDGET'!L$21*L83)</f>
        <v>15958.186232174801</v>
      </c>
    </row>
    <row r="84" spans="1:15" ht="75" x14ac:dyDescent="0.3">
      <c r="A84" s="5" t="str">
        <f t="shared" si="7"/>
        <v>AIAS-Iglesias11</v>
      </c>
      <c r="B84" s="26" t="s">
        <v>86</v>
      </c>
      <c r="C84" s="26" t="s">
        <v>29</v>
      </c>
      <c r="D84" s="26" t="s">
        <v>91</v>
      </c>
      <c r="E84" s="26">
        <v>11</v>
      </c>
      <c r="F84" s="8">
        <v>7.5018914422396707E-2</v>
      </c>
      <c r="G84" s="27" t="str">
        <f t="shared" si="8"/>
        <v>Sulcis11</v>
      </c>
      <c r="H84" s="28">
        <f t="shared" si="9"/>
        <v>7</v>
      </c>
      <c r="I84" s="28">
        <f t="shared" si="10"/>
        <v>56</v>
      </c>
      <c r="J84" s="8">
        <f t="shared" si="11"/>
        <v>0.875</v>
      </c>
      <c r="K84" s="8">
        <f t="shared" si="12"/>
        <v>0.47500945721119836</v>
      </c>
      <c r="L84" s="29">
        <f t="shared" si="13"/>
        <v>2.9691946191857102E-3</v>
      </c>
      <c r="M84" s="30">
        <f>IF(E84=1,'00-BUDGET'!E$21*L84,'00-BUDGET'!F$21*L84)</f>
        <v>7836.3288340064018</v>
      </c>
      <c r="N84" s="8">
        <f>IF(E84=1,'00-BUDGET'!H$21*L84,'00-BUDGET'!I$21*L84)</f>
        <v>11754.493251009606</v>
      </c>
      <c r="O84" s="8">
        <f>IF(E84=1,'00-BUDGET'!K$21*L84,'00-BUDGET'!L$21*L84)</f>
        <v>15672.657668012811</v>
      </c>
    </row>
    <row r="85" spans="1:15" ht="75" x14ac:dyDescent="0.3">
      <c r="A85" s="5" t="str">
        <f t="shared" si="7"/>
        <v>AIAS-Lanusei5</v>
      </c>
      <c r="B85" s="26" t="s">
        <v>75</v>
      </c>
      <c r="C85" s="26" t="s">
        <v>29</v>
      </c>
      <c r="D85" s="26" t="s">
        <v>92</v>
      </c>
      <c r="E85" s="26">
        <v>5</v>
      </c>
      <c r="F85" s="8">
        <v>3.4539845648234001E-2</v>
      </c>
      <c r="G85" s="27" t="str">
        <f t="shared" si="8"/>
        <v>Ogliastra5</v>
      </c>
      <c r="H85" s="28">
        <f t="shared" si="9"/>
        <v>2</v>
      </c>
      <c r="I85" s="28">
        <f t="shared" si="10"/>
        <v>23</v>
      </c>
      <c r="J85" s="8">
        <f t="shared" si="11"/>
        <v>0.91304347826086962</v>
      </c>
      <c r="K85" s="8">
        <f t="shared" si="12"/>
        <v>0.4737916619545518</v>
      </c>
      <c r="L85" s="29">
        <f t="shared" si="13"/>
        <v>2.9615824104845742E-3</v>
      </c>
      <c r="M85" s="30">
        <f>IF(E85=1,'00-BUDGET'!E$21*L85,'00-BUDGET'!F$21*L85)</f>
        <v>7816.238614877705</v>
      </c>
      <c r="N85" s="8">
        <f>IF(E85=1,'00-BUDGET'!H$21*L85,'00-BUDGET'!I$21*L85)</f>
        <v>11724.357922316562</v>
      </c>
      <c r="O85" s="8">
        <f>IF(E85=1,'00-BUDGET'!K$21*L85,'00-BUDGET'!L$21*L85)</f>
        <v>15632.477229755419</v>
      </c>
    </row>
    <row r="86" spans="1:15" ht="75" x14ac:dyDescent="0.3">
      <c r="A86" s="5" t="str">
        <f t="shared" si="7"/>
        <v>AIAS-Lanusei8</v>
      </c>
      <c r="B86" s="26" t="s">
        <v>75</v>
      </c>
      <c r="C86" s="26" t="s">
        <v>29</v>
      </c>
      <c r="D86" s="26" t="s">
        <v>92</v>
      </c>
      <c r="E86" s="26">
        <v>8</v>
      </c>
      <c r="F86" s="8">
        <v>3.4539845648234001E-2</v>
      </c>
      <c r="G86" s="27" t="str">
        <f t="shared" si="8"/>
        <v>Ogliastra8</v>
      </c>
      <c r="H86" s="28">
        <f t="shared" si="9"/>
        <v>4</v>
      </c>
      <c r="I86" s="28">
        <f t="shared" si="10"/>
        <v>67</v>
      </c>
      <c r="J86" s="8">
        <f t="shared" si="11"/>
        <v>0.94029850746268662</v>
      </c>
      <c r="K86" s="8">
        <f t="shared" si="12"/>
        <v>0.4874191765554603</v>
      </c>
      <c r="L86" s="29">
        <f t="shared" si="13"/>
        <v>3.0467654366572549E-3</v>
      </c>
      <c r="M86" s="30">
        <f>IF(E86=1,'00-BUDGET'!E$21*L86,'00-BUDGET'!F$21*L86)</f>
        <v>8041.054529554247</v>
      </c>
      <c r="N86" s="8">
        <f>IF(E86=1,'00-BUDGET'!H$21*L86,'00-BUDGET'!I$21*L86)</f>
        <v>12061.581794331374</v>
      </c>
      <c r="O86" s="8">
        <f>IF(E86=1,'00-BUDGET'!K$21*L86,'00-BUDGET'!L$21*L86)</f>
        <v>16082.109059108501</v>
      </c>
    </row>
    <row r="87" spans="1:15" ht="75" x14ac:dyDescent="0.3">
      <c r="A87" s="5" t="str">
        <f t="shared" si="7"/>
        <v>AIAS-Lanusei9</v>
      </c>
      <c r="B87" s="26" t="s">
        <v>75</v>
      </c>
      <c r="C87" s="26" t="s">
        <v>29</v>
      </c>
      <c r="D87" s="26" t="s">
        <v>92</v>
      </c>
      <c r="E87" s="26">
        <v>9</v>
      </c>
      <c r="F87" s="8">
        <v>3.4539845648234001E-2</v>
      </c>
      <c r="G87" s="27" t="str">
        <f t="shared" si="8"/>
        <v>Ogliastra9</v>
      </c>
      <c r="H87" s="28">
        <f t="shared" si="9"/>
        <v>4</v>
      </c>
      <c r="I87" s="28">
        <f t="shared" si="10"/>
        <v>60</v>
      </c>
      <c r="J87" s="8">
        <f t="shared" si="11"/>
        <v>0.93333333333333335</v>
      </c>
      <c r="K87" s="8">
        <f t="shared" si="12"/>
        <v>0.48393658949078366</v>
      </c>
      <c r="L87" s="29">
        <f t="shared" si="13"/>
        <v>3.0249964410797919E-3</v>
      </c>
      <c r="M87" s="30">
        <f>IF(E87=1,'00-BUDGET'!E$21*L87,'00-BUDGET'!F$21*L87)</f>
        <v>7983.6015735813526</v>
      </c>
      <c r="N87" s="8">
        <f>IF(E87=1,'00-BUDGET'!H$21*L87,'00-BUDGET'!I$21*L87)</f>
        <v>11975.402360372032</v>
      </c>
      <c r="O87" s="8">
        <f>IF(E87=1,'00-BUDGET'!K$21*L87,'00-BUDGET'!L$21*L87)</f>
        <v>15967.203147162712</v>
      </c>
    </row>
    <row r="88" spans="1:15" ht="75" x14ac:dyDescent="0.3">
      <c r="A88" s="5" t="str">
        <f t="shared" si="7"/>
        <v>AIAS-Lanusei10</v>
      </c>
      <c r="B88" s="26" t="s">
        <v>75</v>
      </c>
      <c r="C88" s="26" t="s">
        <v>29</v>
      </c>
      <c r="D88" s="26" t="s">
        <v>92</v>
      </c>
      <c r="E88" s="26">
        <v>10</v>
      </c>
      <c r="F88" s="8">
        <v>3.4539845648234001E-2</v>
      </c>
      <c r="G88" s="27" t="str">
        <f t="shared" si="8"/>
        <v>Ogliastra10</v>
      </c>
      <c r="H88" s="28">
        <f t="shared" si="9"/>
        <v>4</v>
      </c>
      <c r="I88" s="28">
        <f t="shared" si="10"/>
        <v>65</v>
      </c>
      <c r="J88" s="8">
        <f t="shared" si="11"/>
        <v>0.93846153846153846</v>
      </c>
      <c r="K88" s="8">
        <f t="shared" si="12"/>
        <v>0.48650069205488622</v>
      </c>
      <c r="L88" s="29">
        <f t="shared" si="13"/>
        <v>3.0410241630983632E-3</v>
      </c>
      <c r="M88" s="30">
        <f>IF(E88=1,'00-BUDGET'!E$21*L88,'00-BUDGET'!F$21*L88)</f>
        <v>8025.9021016053503</v>
      </c>
      <c r="N88" s="8">
        <f>IF(E88=1,'00-BUDGET'!H$21*L88,'00-BUDGET'!I$21*L88)</f>
        <v>12038.85315240803</v>
      </c>
      <c r="O88" s="8">
        <f>IF(E88=1,'00-BUDGET'!K$21*L88,'00-BUDGET'!L$21*L88)</f>
        <v>16051.80420321071</v>
      </c>
    </row>
    <row r="89" spans="1:15" ht="75" x14ac:dyDescent="0.3">
      <c r="A89" s="5" t="str">
        <f t="shared" si="7"/>
        <v>AIAS-Lanusei11</v>
      </c>
      <c r="B89" s="26" t="s">
        <v>75</v>
      </c>
      <c r="C89" s="26" t="s">
        <v>29</v>
      </c>
      <c r="D89" s="26" t="s">
        <v>92</v>
      </c>
      <c r="E89" s="26">
        <v>11</v>
      </c>
      <c r="F89" s="8">
        <v>3.4539845648234001E-2</v>
      </c>
      <c r="G89" s="27" t="str">
        <f t="shared" si="8"/>
        <v>Ogliastra11</v>
      </c>
      <c r="H89" s="28">
        <f t="shared" si="9"/>
        <v>4</v>
      </c>
      <c r="I89" s="28">
        <f t="shared" si="10"/>
        <v>56</v>
      </c>
      <c r="J89" s="8">
        <f t="shared" si="11"/>
        <v>0.9285714285714286</v>
      </c>
      <c r="K89" s="8">
        <f t="shared" si="12"/>
        <v>0.48155563710983129</v>
      </c>
      <c r="L89" s="29">
        <f t="shared" si="13"/>
        <v>3.0101135563482613E-3</v>
      </c>
      <c r="M89" s="30">
        <f>IF(E89=1,'00-BUDGET'!E$21*L89,'00-BUDGET'!F$21*L89)</f>
        <v>7944.3225118447826</v>
      </c>
      <c r="N89" s="8">
        <f>IF(E89=1,'00-BUDGET'!H$21*L89,'00-BUDGET'!I$21*L89)</f>
        <v>11916.483767767179</v>
      </c>
      <c r="O89" s="8">
        <f>IF(E89=1,'00-BUDGET'!K$21*L89,'00-BUDGET'!L$21*L89)</f>
        <v>15888.645023689573</v>
      </c>
    </row>
    <row r="90" spans="1:15" ht="75" x14ac:dyDescent="0.3">
      <c r="A90" s="5" t="str">
        <f t="shared" si="7"/>
        <v>AIAS-Lotzorai5</v>
      </c>
      <c r="B90" s="26" t="s">
        <v>75</v>
      </c>
      <c r="C90" s="26" t="s">
        <v>29</v>
      </c>
      <c r="D90" s="26" t="s">
        <v>93</v>
      </c>
      <c r="E90" s="26">
        <v>5</v>
      </c>
      <c r="F90" s="8">
        <v>3.4539845648234001E-2</v>
      </c>
      <c r="G90" s="27" t="str">
        <f t="shared" si="8"/>
        <v>Ogliastra5</v>
      </c>
      <c r="H90" s="28">
        <f t="shared" si="9"/>
        <v>2</v>
      </c>
      <c r="I90" s="28">
        <f t="shared" si="10"/>
        <v>23</v>
      </c>
      <c r="J90" s="8">
        <f t="shared" si="11"/>
        <v>0.91304347826086962</v>
      </c>
      <c r="K90" s="8">
        <f t="shared" si="12"/>
        <v>0.4737916619545518</v>
      </c>
      <c r="L90" s="29">
        <f t="shared" si="13"/>
        <v>2.9615824104845742E-3</v>
      </c>
      <c r="M90" s="30">
        <f>IF(E90=1,'00-BUDGET'!E$21*L90,'00-BUDGET'!F$21*L90)</f>
        <v>7816.238614877705</v>
      </c>
      <c r="N90" s="8">
        <f>IF(E90=1,'00-BUDGET'!H$21*L90,'00-BUDGET'!I$21*L90)</f>
        <v>11724.357922316562</v>
      </c>
      <c r="O90" s="8">
        <f>IF(E90=1,'00-BUDGET'!K$21*L90,'00-BUDGET'!L$21*L90)</f>
        <v>15632.477229755419</v>
      </c>
    </row>
    <row r="91" spans="1:15" ht="75" x14ac:dyDescent="0.3">
      <c r="A91" s="5" t="str">
        <f t="shared" si="7"/>
        <v>AIAS-Lotzorai8</v>
      </c>
      <c r="B91" s="26" t="s">
        <v>75</v>
      </c>
      <c r="C91" s="26" t="s">
        <v>29</v>
      </c>
      <c r="D91" s="26" t="s">
        <v>93</v>
      </c>
      <c r="E91" s="26">
        <v>8</v>
      </c>
      <c r="F91" s="8">
        <v>3.4539845648234001E-2</v>
      </c>
      <c r="G91" s="27" t="str">
        <f t="shared" si="8"/>
        <v>Ogliastra8</v>
      </c>
      <c r="H91" s="28">
        <f t="shared" si="9"/>
        <v>4</v>
      </c>
      <c r="I91" s="28">
        <f t="shared" si="10"/>
        <v>67</v>
      </c>
      <c r="J91" s="8">
        <f t="shared" si="11"/>
        <v>0.94029850746268662</v>
      </c>
      <c r="K91" s="8">
        <f t="shared" si="12"/>
        <v>0.4874191765554603</v>
      </c>
      <c r="L91" s="29">
        <f t="shared" si="13"/>
        <v>3.0467654366572549E-3</v>
      </c>
      <c r="M91" s="30">
        <f>IF(E91=1,'00-BUDGET'!E$21*L91,'00-BUDGET'!F$21*L91)</f>
        <v>8041.054529554247</v>
      </c>
      <c r="N91" s="8">
        <f>IF(E91=1,'00-BUDGET'!H$21*L91,'00-BUDGET'!I$21*L91)</f>
        <v>12061.581794331374</v>
      </c>
      <c r="O91" s="8">
        <f>IF(E91=1,'00-BUDGET'!K$21*L91,'00-BUDGET'!L$21*L91)</f>
        <v>16082.109059108501</v>
      </c>
    </row>
    <row r="92" spans="1:15" ht="75" x14ac:dyDescent="0.3">
      <c r="A92" s="5" t="str">
        <f t="shared" si="7"/>
        <v>AIAS-Lotzorai9</v>
      </c>
      <c r="B92" s="26" t="s">
        <v>75</v>
      </c>
      <c r="C92" s="26" t="s">
        <v>29</v>
      </c>
      <c r="D92" s="26" t="s">
        <v>93</v>
      </c>
      <c r="E92" s="26">
        <v>9</v>
      </c>
      <c r="F92" s="8">
        <v>3.4539845648234001E-2</v>
      </c>
      <c r="G92" s="27" t="str">
        <f t="shared" si="8"/>
        <v>Ogliastra9</v>
      </c>
      <c r="H92" s="28">
        <f t="shared" si="9"/>
        <v>4</v>
      </c>
      <c r="I92" s="28">
        <f t="shared" si="10"/>
        <v>60</v>
      </c>
      <c r="J92" s="8">
        <f t="shared" si="11"/>
        <v>0.93333333333333335</v>
      </c>
      <c r="K92" s="8">
        <f t="shared" si="12"/>
        <v>0.48393658949078366</v>
      </c>
      <c r="L92" s="29">
        <f t="shared" si="13"/>
        <v>3.0249964410797919E-3</v>
      </c>
      <c r="M92" s="30">
        <f>IF(E92=1,'00-BUDGET'!E$21*L92,'00-BUDGET'!F$21*L92)</f>
        <v>7983.6015735813526</v>
      </c>
      <c r="N92" s="8">
        <f>IF(E92=1,'00-BUDGET'!H$21*L92,'00-BUDGET'!I$21*L92)</f>
        <v>11975.402360372032</v>
      </c>
      <c r="O92" s="8">
        <f>IF(E92=1,'00-BUDGET'!K$21*L92,'00-BUDGET'!L$21*L92)</f>
        <v>15967.203147162712</v>
      </c>
    </row>
    <row r="93" spans="1:15" ht="75" x14ac:dyDescent="0.3">
      <c r="A93" s="5" t="str">
        <f t="shared" si="7"/>
        <v>AIAS-Lotzorai10</v>
      </c>
      <c r="B93" s="26" t="s">
        <v>75</v>
      </c>
      <c r="C93" s="26" t="s">
        <v>29</v>
      </c>
      <c r="D93" s="26" t="s">
        <v>93</v>
      </c>
      <c r="E93" s="26">
        <v>10</v>
      </c>
      <c r="F93" s="8">
        <v>3.4539845648234001E-2</v>
      </c>
      <c r="G93" s="27" t="str">
        <f t="shared" si="8"/>
        <v>Ogliastra10</v>
      </c>
      <c r="H93" s="28">
        <f t="shared" si="9"/>
        <v>4</v>
      </c>
      <c r="I93" s="28">
        <f t="shared" si="10"/>
        <v>65</v>
      </c>
      <c r="J93" s="8">
        <f t="shared" si="11"/>
        <v>0.93846153846153846</v>
      </c>
      <c r="K93" s="8">
        <f t="shared" si="12"/>
        <v>0.48650069205488622</v>
      </c>
      <c r="L93" s="29">
        <f t="shared" si="13"/>
        <v>3.0410241630983632E-3</v>
      </c>
      <c r="M93" s="30">
        <f>IF(E93=1,'00-BUDGET'!E$21*L93,'00-BUDGET'!F$21*L93)</f>
        <v>8025.9021016053503</v>
      </c>
      <c r="N93" s="8">
        <f>IF(E93=1,'00-BUDGET'!H$21*L93,'00-BUDGET'!I$21*L93)</f>
        <v>12038.85315240803</v>
      </c>
      <c r="O93" s="8">
        <f>IF(E93=1,'00-BUDGET'!K$21*L93,'00-BUDGET'!L$21*L93)</f>
        <v>16051.80420321071</v>
      </c>
    </row>
    <row r="94" spans="1:15" ht="75" x14ac:dyDescent="0.3">
      <c r="A94" s="5" t="str">
        <f t="shared" si="7"/>
        <v>AIAS-Lotzorai11</v>
      </c>
      <c r="B94" s="26" t="s">
        <v>75</v>
      </c>
      <c r="C94" s="26" t="s">
        <v>29</v>
      </c>
      <c r="D94" s="26" t="s">
        <v>93</v>
      </c>
      <c r="E94" s="26">
        <v>11</v>
      </c>
      <c r="F94" s="8">
        <v>3.4539845648234001E-2</v>
      </c>
      <c r="G94" s="27" t="str">
        <f t="shared" si="8"/>
        <v>Ogliastra11</v>
      </c>
      <c r="H94" s="28">
        <f t="shared" si="9"/>
        <v>4</v>
      </c>
      <c r="I94" s="28">
        <f t="shared" si="10"/>
        <v>56</v>
      </c>
      <c r="J94" s="8">
        <f t="shared" si="11"/>
        <v>0.9285714285714286</v>
      </c>
      <c r="K94" s="8">
        <f t="shared" si="12"/>
        <v>0.48155563710983129</v>
      </c>
      <c r="L94" s="29">
        <f t="shared" si="13"/>
        <v>3.0101135563482613E-3</v>
      </c>
      <c r="M94" s="30">
        <f>IF(E94=1,'00-BUDGET'!E$21*L94,'00-BUDGET'!F$21*L94)</f>
        <v>7944.3225118447826</v>
      </c>
      <c r="N94" s="8">
        <f>IF(E94=1,'00-BUDGET'!H$21*L94,'00-BUDGET'!I$21*L94)</f>
        <v>11916.483767767179</v>
      </c>
      <c r="O94" s="8">
        <f>IF(E94=1,'00-BUDGET'!K$21*L94,'00-BUDGET'!L$21*L94)</f>
        <v>15888.645023689573</v>
      </c>
    </row>
    <row r="95" spans="1:15" ht="75" x14ac:dyDescent="0.3">
      <c r="A95" s="5" t="str">
        <f t="shared" si="7"/>
        <v>AIAS-Mandas5</v>
      </c>
      <c r="B95" s="26" t="s">
        <v>77</v>
      </c>
      <c r="C95" s="26" t="s">
        <v>29</v>
      </c>
      <c r="D95" s="26" t="s">
        <v>94</v>
      </c>
      <c r="E95" s="26">
        <v>5</v>
      </c>
      <c r="F95" s="8">
        <v>0.34343362439390401</v>
      </c>
      <c r="G95" s="27" t="str">
        <f t="shared" si="8"/>
        <v>Cagliari5</v>
      </c>
      <c r="H95" s="28">
        <f t="shared" si="9"/>
        <v>11</v>
      </c>
      <c r="I95" s="28">
        <f t="shared" si="10"/>
        <v>23</v>
      </c>
      <c r="J95" s="8">
        <f t="shared" si="11"/>
        <v>0.52173913043478259</v>
      </c>
      <c r="K95" s="8">
        <f t="shared" si="12"/>
        <v>0.4325863774143433</v>
      </c>
      <c r="L95" s="29">
        <f t="shared" si="13"/>
        <v>2.7040159404249993E-3</v>
      </c>
      <c r="M95" s="30">
        <f>IF(E95=1,'00-BUDGET'!E$21*L95,'00-BUDGET'!F$21*L95)</f>
        <v>7136.4665504400346</v>
      </c>
      <c r="N95" s="8">
        <f>IF(E95=1,'00-BUDGET'!H$21*L95,'00-BUDGET'!I$21*L95)</f>
        <v>10704.699825660056</v>
      </c>
      <c r="O95" s="8">
        <f>IF(E95=1,'00-BUDGET'!K$21*L95,'00-BUDGET'!L$21*L95)</f>
        <v>14272.933100880076</v>
      </c>
    </row>
    <row r="96" spans="1:15" ht="75" x14ac:dyDescent="0.3">
      <c r="A96" s="5" t="str">
        <f t="shared" si="7"/>
        <v>AIAS-Mandas6</v>
      </c>
      <c r="B96" s="26" t="s">
        <v>77</v>
      </c>
      <c r="C96" s="26" t="s">
        <v>29</v>
      </c>
      <c r="D96" s="26" t="s">
        <v>94</v>
      </c>
      <c r="E96" s="26">
        <v>6</v>
      </c>
      <c r="F96" s="8">
        <v>0.34343362439390401</v>
      </c>
      <c r="G96" s="27" t="str">
        <f t="shared" si="8"/>
        <v>Cagliari6</v>
      </c>
      <c r="H96" s="28">
        <f t="shared" si="9"/>
        <v>3</v>
      </c>
      <c r="I96" s="28">
        <f t="shared" si="10"/>
        <v>5</v>
      </c>
      <c r="J96" s="8">
        <f t="shared" si="11"/>
        <v>0.4</v>
      </c>
      <c r="K96" s="8">
        <f t="shared" si="12"/>
        <v>0.37171681219695202</v>
      </c>
      <c r="L96" s="29">
        <f t="shared" si="13"/>
        <v>2.3235317568536936E-3</v>
      </c>
      <c r="M96" s="30">
        <f>IF(E96=1,'00-BUDGET'!E$21*L96,'00-BUDGET'!F$21*L96)</f>
        <v>6132.2887982181546</v>
      </c>
      <c r="N96" s="8">
        <f>IF(E96=1,'00-BUDGET'!H$21*L96,'00-BUDGET'!I$21*L96)</f>
        <v>9198.4331973272347</v>
      </c>
      <c r="O96" s="8">
        <f>IF(E96=1,'00-BUDGET'!K$21*L96,'00-BUDGET'!L$21*L96)</f>
        <v>12264.577596436317</v>
      </c>
    </row>
    <row r="97" spans="1:15" ht="75" x14ac:dyDescent="0.3">
      <c r="A97" s="5" t="str">
        <f t="shared" si="7"/>
        <v>AIAS-Mandas8</v>
      </c>
      <c r="B97" s="26" t="s">
        <v>77</v>
      </c>
      <c r="C97" s="26" t="s">
        <v>29</v>
      </c>
      <c r="D97" s="26" t="s">
        <v>94</v>
      </c>
      <c r="E97" s="26">
        <v>8</v>
      </c>
      <c r="F97" s="8">
        <v>0.34343362439390401</v>
      </c>
      <c r="G97" s="27" t="str">
        <f t="shared" si="8"/>
        <v>Cagliari8</v>
      </c>
      <c r="H97" s="28">
        <f t="shared" si="9"/>
        <v>26</v>
      </c>
      <c r="I97" s="28">
        <f t="shared" si="10"/>
        <v>67</v>
      </c>
      <c r="J97" s="8">
        <f t="shared" si="11"/>
        <v>0.61194029850746268</v>
      </c>
      <c r="K97" s="8">
        <f t="shared" si="12"/>
        <v>0.47768696145068335</v>
      </c>
      <c r="L97" s="29">
        <f t="shared" si="13"/>
        <v>2.9859311937107747E-3</v>
      </c>
      <c r="M97" s="30">
        <f>IF(E97=1,'00-BUDGET'!E$21*L97,'00-BUDGET'!F$21*L97)</f>
        <v>7880.5001728219177</v>
      </c>
      <c r="N97" s="8">
        <f>IF(E97=1,'00-BUDGET'!H$21*L97,'00-BUDGET'!I$21*L97)</f>
        <v>11820.75025923288</v>
      </c>
      <c r="O97" s="8">
        <f>IF(E97=1,'00-BUDGET'!K$21*L97,'00-BUDGET'!L$21*L97)</f>
        <v>15761.000345643844</v>
      </c>
    </row>
    <row r="98" spans="1:15" ht="75" x14ac:dyDescent="0.3">
      <c r="A98" s="5" t="str">
        <f t="shared" si="7"/>
        <v>AIAS-Mandas9</v>
      </c>
      <c r="B98" s="26" t="s">
        <v>77</v>
      </c>
      <c r="C98" s="26" t="s">
        <v>29</v>
      </c>
      <c r="D98" s="26" t="s">
        <v>94</v>
      </c>
      <c r="E98" s="26">
        <v>9</v>
      </c>
      <c r="F98" s="8">
        <v>0.34343362439390401</v>
      </c>
      <c r="G98" s="27" t="str">
        <f t="shared" si="8"/>
        <v>Cagliari9</v>
      </c>
      <c r="H98" s="28">
        <f t="shared" si="9"/>
        <v>22</v>
      </c>
      <c r="I98" s="28">
        <f t="shared" si="10"/>
        <v>60</v>
      </c>
      <c r="J98" s="8">
        <f t="shared" si="11"/>
        <v>0.6333333333333333</v>
      </c>
      <c r="K98" s="8">
        <f t="shared" si="12"/>
        <v>0.48838347886361866</v>
      </c>
      <c r="L98" s="29">
        <f t="shared" si="13"/>
        <v>3.0527931086986961E-3</v>
      </c>
      <c r="M98" s="30">
        <f>IF(E98=1,'00-BUDGET'!E$21*L98,'00-BUDGET'!F$21*L98)</f>
        <v>8056.9628233100912</v>
      </c>
      <c r="N98" s="8">
        <f>IF(E98=1,'00-BUDGET'!H$21*L98,'00-BUDGET'!I$21*L98)</f>
        <v>12085.444234965142</v>
      </c>
      <c r="O98" s="8">
        <f>IF(E98=1,'00-BUDGET'!K$21*L98,'00-BUDGET'!L$21*L98)</f>
        <v>16113.925646620191</v>
      </c>
    </row>
    <row r="99" spans="1:15" ht="75" x14ac:dyDescent="0.3">
      <c r="A99" s="5" t="str">
        <f t="shared" si="7"/>
        <v>AIAS-Mandas10</v>
      </c>
      <c r="B99" s="26" t="s">
        <v>77</v>
      </c>
      <c r="C99" s="26" t="s">
        <v>29</v>
      </c>
      <c r="D99" s="26" t="s">
        <v>94</v>
      </c>
      <c r="E99" s="26">
        <v>10</v>
      </c>
      <c r="F99" s="8">
        <v>0.34343362439390401</v>
      </c>
      <c r="G99" s="27" t="str">
        <f t="shared" si="8"/>
        <v>Cagliari10</v>
      </c>
      <c r="H99" s="28">
        <f t="shared" si="9"/>
        <v>26</v>
      </c>
      <c r="I99" s="28">
        <f t="shared" si="10"/>
        <v>65</v>
      </c>
      <c r="J99" s="8">
        <f t="shared" si="11"/>
        <v>0.6</v>
      </c>
      <c r="K99" s="8">
        <f t="shared" si="12"/>
        <v>0.471716812196952</v>
      </c>
      <c r="L99" s="29">
        <f t="shared" si="13"/>
        <v>2.9486129155779812E-3</v>
      </c>
      <c r="M99" s="30">
        <f>IF(E99=1,'00-BUDGET'!E$21*L99,'00-BUDGET'!F$21*L99)</f>
        <v>7782.0093911540998</v>
      </c>
      <c r="N99" s="8">
        <f>IF(E99=1,'00-BUDGET'!H$21*L99,'00-BUDGET'!I$21*L99)</f>
        <v>11673.014086731153</v>
      </c>
      <c r="O99" s="8">
        <f>IF(E99=1,'00-BUDGET'!K$21*L99,'00-BUDGET'!L$21*L99)</f>
        <v>15564.018782308207</v>
      </c>
    </row>
    <row r="100" spans="1:15" ht="75" x14ac:dyDescent="0.3">
      <c r="A100" s="5" t="str">
        <f t="shared" si="7"/>
        <v>AIAS-Mandas11</v>
      </c>
      <c r="B100" s="26" t="s">
        <v>77</v>
      </c>
      <c r="C100" s="26" t="s">
        <v>29</v>
      </c>
      <c r="D100" s="26" t="s">
        <v>94</v>
      </c>
      <c r="E100" s="26">
        <v>11</v>
      </c>
      <c r="F100" s="8">
        <v>0.34343362439390401</v>
      </c>
      <c r="G100" s="27" t="str">
        <f t="shared" si="8"/>
        <v>Cagliari11</v>
      </c>
      <c r="H100" s="28">
        <f t="shared" si="9"/>
        <v>19</v>
      </c>
      <c r="I100" s="28">
        <f t="shared" si="10"/>
        <v>56</v>
      </c>
      <c r="J100" s="8">
        <f t="shared" si="11"/>
        <v>0.6607142857142857</v>
      </c>
      <c r="K100" s="8">
        <f t="shared" si="12"/>
        <v>0.50207395505409491</v>
      </c>
      <c r="L100" s="29">
        <f t="shared" si="13"/>
        <v>3.1383696959049979E-3</v>
      </c>
      <c r="M100" s="30">
        <f>IF(E100=1,'00-BUDGET'!E$21*L100,'00-BUDGET'!F$21*L100)</f>
        <v>8282.8174282953714</v>
      </c>
      <c r="N100" s="8">
        <f>IF(E100=1,'00-BUDGET'!H$21*L100,'00-BUDGET'!I$21*L100)</f>
        <v>12424.22614244306</v>
      </c>
      <c r="O100" s="8">
        <f>IF(E100=1,'00-BUDGET'!K$21*L100,'00-BUDGET'!L$21*L100)</f>
        <v>16565.63485659075</v>
      </c>
    </row>
    <row r="101" spans="1:15" ht="75" x14ac:dyDescent="0.3">
      <c r="A101" s="5" t="str">
        <f t="shared" si="7"/>
        <v>AIAS-Monastir7</v>
      </c>
      <c r="B101" s="26" t="s">
        <v>77</v>
      </c>
      <c r="C101" s="26" t="s">
        <v>29</v>
      </c>
      <c r="D101" s="26" t="s">
        <v>95</v>
      </c>
      <c r="E101" s="26">
        <v>7</v>
      </c>
      <c r="F101" s="8">
        <v>0.34343362439390401</v>
      </c>
      <c r="G101" s="27" t="str">
        <f t="shared" si="8"/>
        <v>Cagliari7</v>
      </c>
      <c r="H101" s="28">
        <f t="shared" si="9"/>
        <v>15</v>
      </c>
      <c r="I101" s="28">
        <f t="shared" si="10"/>
        <v>32</v>
      </c>
      <c r="J101" s="8">
        <f t="shared" si="11"/>
        <v>0.53125</v>
      </c>
      <c r="K101" s="8">
        <f t="shared" si="12"/>
        <v>0.43734181219695201</v>
      </c>
      <c r="L101" s="29">
        <f t="shared" si="13"/>
        <v>2.7337412672665076E-3</v>
      </c>
      <c r="M101" s="30">
        <f>IF(E101=1,'00-BUDGET'!E$21*L101,'00-BUDGET'!F$21*L101)</f>
        <v>7214.9179373323695</v>
      </c>
      <c r="N101" s="8">
        <f>IF(E101=1,'00-BUDGET'!H$21*L101,'00-BUDGET'!I$21*L101)</f>
        <v>10822.376905998557</v>
      </c>
      <c r="O101" s="8">
        <f>IF(E101=1,'00-BUDGET'!K$21*L101,'00-BUDGET'!L$21*L101)</f>
        <v>14429.835874664746</v>
      </c>
    </row>
    <row r="102" spans="1:15" ht="75" x14ac:dyDescent="0.3">
      <c r="A102" s="5" t="str">
        <f t="shared" si="7"/>
        <v>AIAS-Monastir8</v>
      </c>
      <c r="B102" s="26" t="s">
        <v>77</v>
      </c>
      <c r="C102" s="26" t="s">
        <v>29</v>
      </c>
      <c r="D102" s="26" t="s">
        <v>95</v>
      </c>
      <c r="E102" s="26">
        <v>8</v>
      </c>
      <c r="F102" s="8">
        <v>0.34343362439390401</v>
      </c>
      <c r="G102" s="27" t="str">
        <f t="shared" si="8"/>
        <v>Cagliari8</v>
      </c>
      <c r="H102" s="28">
        <f t="shared" si="9"/>
        <v>26</v>
      </c>
      <c r="I102" s="28">
        <f t="shared" si="10"/>
        <v>67</v>
      </c>
      <c r="J102" s="8">
        <f t="shared" si="11"/>
        <v>0.61194029850746268</v>
      </c>
      <c r="K102" s="8">
        <f t="shared" si="12"/>
        <v>0.47768696145068335</v>
      </c>
      <c r="L102" s="29">
        <f t="shared" si="13"/>
        <v>2.9859311937107747E-3</v>
      </c>
      <c r="M102" s="30">
        <f>IF(E102=1,'00-BUDGET'!E$21*L102,'00-BUDGET'!F$21*L102)</f>
        <v>7880.5001728219177</v>
      </c>
      <c r="N102" s="8">
        <f>IF(E102=1,'00-BUDGET'!H$21*L102,'00-BUDGET'!I$21*L102)</f>
        <v>11820.75025923288</v>
      </c>
      <c r="O102" s="8">
        <f>IF(E102=1,'00-BUDGET'!K$21*L102,'00-BUDGET'!L$21*L102)</f>
        <v>15761.000345643844</v>
      </c>
    </row>
    <row r="103" spans="1:15" ht="75" x14ac:dyDescent="0.3">
      <c r="A103" s="5" t="str">
        <f t="shared" si="7"/>
        <v>AIAS-Monastir9</v>
      </c>
      <c r="B103" s="26" t="s">
        <v>77</v>
      </c>
      <c r="C103" s="26" t="s">
        <v>29</v>
      </c>
      <c r="D103" s="26" t="s">
        <v>95</v>
      </c>
      <c r="E103" s="26">
        <v>9</v>
      </c>
      <c r="F103" s="8">
        <v>0.34343362439390401</v>
      </c>
      <c r="G103" s="27" t="str">
        <f t="shared" si="8"/>
        <v>Cagliari9</v>
      </c>
      <c r="H103" s="28">
        <f t="shared" si="9"/>
        <v>22</v>
      </c>
      <c r="I103" s="28">
        <f t="shared" si="10"/>
        <v>60</v>
      </c>
      <c r="J103" s="8">
        <f t="shared" si="11"/>
        <v>0.6333333333333333</v>
      </c>
      <c r="K103" s="8">
        <f t="shared" si="12"/>
        <v>0.48838347886361866</v>
      </c>
      <c r="L103" s="29">
        <f t="shared" si="13"/>
        <v>3.0527931086986961E-3</v>
      </c>
      <c r="M103" s="30">
        <f>IF(E103=1,'00-BUDGET'!E$21*L103,'00-BUDGET'!F$21*L103)</f>
        <v>8056.9628233100912</v>
      </c>
      <c r="N103" s="8">
        <f>IF(E103=1,'00-BUDGET'!H$21*L103,'00-BUDGET'!I$21*L103)</f>
        <v>12085.444234965142</v>
      </c>
      <c r="O103" s="8">
        <f>IF(E103=1,'00-BUDGET'!K$21*L103,'00-BUDGET'!L$21*L103)</f>
        <v>16113.925646620191</v>
      </c>
    </row>
    <row r="104" spans="1:15" ht="75" x14ac:dyDescent="0.3">
      <c r="A104" s="5" t="str">
        <f t="shared" si="7"/>
        <v>AIAS-Monastir10</v>
      </c>
      <c r="B104" s="26" t="s">
        <v>77</v>
      </c>
      <c r="C104" s="26" t="s">
        <v>29</v>
      </c>
      <c r="D104" s="26" t="s">
        <v>95</v>
      </c>
      <c r="E104" s="26">
        <v>10</v>
      </c>
      <c r="F104" s="8">
        <v>0.34343362439390401</v>
      </c>
      <c r="G104" s="27" t="str">
        <f t="shared" si="8"/>
        <v>Cagliari10</v>
      </c>
      <c r="H104" s="28">
        <f t="shared" si="9"/>
        <v>26</v>
      </c>
      <c r="I104" s="28">
        <f t="shared" si="10"/>
        <v>65</v>
      </c>
      <c r="J104" s="8">
        <f t="shared" si="11"/>
        <v>0.6</v>
      </c>
      <c r="K104" s="8">
        <f t="shared" si="12"/>
        <v>0.471716812196952</v>
      </c>
      <c r="L104" s="29">
        <f t="shared" si="13"/>
        <v>2.9486129155779812E-3</v>
      </c>
      <c r="M104" s="30">
        <f>IF(E104=1,'00-BUDGET'!E$21*L104,'00-BUDGET'!F$21*L104)</f>
        <v>7782.0093911540998</v>
      </c>
      <c r="N104" s="8">
        <f>IF(E104=1,'00-BUDGET'!H$21*L104,'00-BUDGET'!I$21*L104)</f>
        <v>11673.014086731153</v>
      </c>
      <c r="O104" s="8">
        <f>IF(E104=1,'00-BUDGET'!K$21*L104,'00-BUDGET'!L$21*L104)</f>
        <v>15564.018782308207</v>
      </c>
    </row>
    <row r="105" spans="1:15" ht="75" x14ac:dyDescent="0.3">
      <c r="A105" s="5" t="str">
        <f t="shared" si="7"/>
        <v>AIAS-Monastir11</v>
      </c>
      <c r="B105" s="26" t="s">
        <v>77</v>
      </c>
      <c r="C105" s="26" t="s">
        <v>29</v>
      </c>
      <c r="D105" s="26" t="s">
        <v>95</v>
      </c>
      <c r="E105" s="26">
        <v>11</v>
      </c>
      <c r="F105" s="8">
        <v>0.34343362439390401</v>
      </c>
      <c r="G105" s="27" t="str">
        <f t="shared" si="8"/>
        <v>Cagliari11</v>
      </c>
      <c r="H105" s="28">
        <f t="shared" si="9"/>
        <v>19</v>
      </c>
      <c r="I105" s="28">
        <f t="shared" si="10"/>
        <v>56</v>
      </c>
      <c r="J105" s="8">
        <f t="shared" si="11"/>
        <v>0.6607142857142857</v>
      </c>
      <c r="K105" s="8">
        <f t="shared" si="12"/>
        <v>0.50207395505409491</v>
      </c>
      <c r="L105" s="29">
        <f t="shared" si="13"/>
        <v>3.1383696959049979E-3</v>
      </c>
      <c r="M105" s="30">
        <f>IF(E105=1,'00-BUDGET'!E$21*L105,'00-BUDGET'!F$21*L105)</f>
        <v>8282.8174282953714</v>
      </c>
      <c r="N105" s="8">
        <f>IF(E105=1,'00-BUDGET'!H$21*L105,'00-BUDGET'!I$21*L105)</f>
        <v>12424.22614244306</v>
      </c>
      <c r="O105" s="8">
        <f>IF(E105=1,'00-BUDGET'!K$21*L105,'00-BUDGET'!L$21*L105)</f>
        <v>16565.63485659075</v>
      </c>
    </row>
    <row r="106" spans="1:15" ht="75" x14ac:dyDescent="0.3">
      <c r="A106" s="5" t="str">
        <f t="shared" si="7"/>
        <v>AIAS-Oliena8</v>
      </c>
      <c r="B106" s="26" t="s">
        <v>73</v>
      </c>
      <c r="C106" s="26" t="s">
        <v>29</v>
      </c>
      <c r="D106" s="26" t="s">
        <v>96</v>
      </c>
      <c r="E106" s="26">
        <v>8</v>
      </c>
      <c r="F106" s="8">
        <v>9.2430262319887796E-2</v>
      </c>
      <c r="G106" s="27" t="str">
        <f t="shared" si="8"/>
        <v>Nuoro8</v>
      </c>
      <c r="H106" s="28">
        <f t="shared" si="9"/>
        <v>4</v>
      </c>
      <c r="I106" s="28">
        <f t="shared" si="10"/>
        <v>67</v>
      </c>
      <c r="J106" s="8">
        <f t="shared" si="11"/>
        <v>0.94029850746268662</v>
      </c>
      <c r="K106" s="8">
        <f t="shared" si="12"/>
        <v>0.51636438489128722</v>
      </c>
      <c r="L106" s="29">
        <f t="shared" si="13"/>
        <v>3.227696480318001E-3</v>
      </c>
      <c r="M106" s="30">
        <f>IF(E106=1,'00-BUDGET'!E$21*L106,'00-BUDGET'!F$21*L106)</f>
        <v>8518.5695921385959</v>
      </c>
      <c r="N106" s="8">
        <f>IF(E106=1,'00-BUDGET'!H$21*L106,'00-BUDGET'!I$21*L106)</f>
        <v>12777.854388207898</v>
      </c>
      <c r="O106" s="8">
        <f>IF(E106=1,'00-BUDGET'!K$21*L106,'00-BUDGET'!L$21*L106)</f>
        <v>17037.139184277199</v>
      </c>
    </row>
    <row r="107" spans="1:15" ht="75" x14ac:dyDescent="0.3">
      <c r="A107" s="5" t="str">
        <f t="shared" si="7"/>
        <v>AIAS-Oliena9</v>
      </c>
      <c r="B107" s="26" t="s">
        <v>73</v>
      </c>
      <c r="C107" s="26" t="s">
        <v>29</v>
      </c>
      <c r="D107" s="26" t="s">
        <v>96</v>
      </c>
      <c r="E107" s="26">
        <v>9</v>
      </c>
      <c r="F107" s="8">
        <v>9.2430262319887796E-2</v>
      </c>
      <c r="G107" s="27" t="str">
        <f t="shared" si="8"/>
        <v>Nuoro9</v>
      </c>
      <c r="H107" s="28">
        <f t="shared" si="9"/>
        <v>4</v>
      </c>
      <c r="I107" s="28">
        <f t="shared" si="10"/>
        <v>60</v>
      </c>
      <c r="J107" s="8">
        <f t="shared" si="11"/>
        <v>0.93333333333333335</v>
      </c>
      <c r="K107" s="8">
        <f t="shared" si="12"/>
        <v>0.51288179782661059</v>
      </c>
      <c r="L107" s="29">
        <f t="shared" si="13"/>
        <v>3.205927484740538E-3</v>
      </c>
      <c r="M107" s="30">
        <f>IF(E107=1,'00-BUDGET'!E$21*L107,'00-BUDGET'!F$21*L107)</f>
        <v>8461.1166361657015</v>
      </c>
      <c r="N107" s="8">
        <f>IF(E107=1,'00-BUDGET'!H$21*L107,'00-BUDGET'!I$21*L107)</f>
        <v>12691.674954248556</v>
      </c>
      <c r="O107" s="8">
        <f>IF(E107=1,'00-BUDGET'!K$21*L107,'00-BUDGET'!L$21*L107)</f>
        <v>16922.23327233141</v>
      </c>
    </row>
    <row r="108" spans="1:15" ht="75" x14ac:dyDescent="0.3">
      <c r="A108" s="5" t="str">
        <f t="shared" si="7"/>
        <v>AIAS-Oliena10</v>
      </c>
      <c r="B108" s="26" t="s">
        <v>73</v>
      </c>
      <c r="C108" s="26" t="s">
        <v>29</v>
      </c>
      <c r="D108" s="26" t="s">
        <v>96</v>
      </c>
      <c r="E108" s="26">
        <v>10</v>
      </c>
      <c r="F108" s="8">
        <v>9.2430262319887796E-2</v>
      </c>
      <c r="G108" s="27" t="str">
        <f t="shared" si="8"/>
        <v>Nuoro10</v>
      </c>
      <c r="H108" s="28">
        <f t="shared" si="9"/>
        <v>4</v>
      </c>
      <c r="I108" s="28">
        <f t="shared" si="10"/>
        <v>65</v>
      </c>
      <c r="J108" s="8">
        <f t="shared" si="11"/>
        <v>0.93846153846153846</v>
      </c>
      <c r="K108" s="8">
        <f t="shared" si="12"/>
        <v>0.51544590039071314</v>
      </c>
      <c r="L108" s="29">
        <f t="shared" si="13"/>
        <v>3.2219552067591093E-3</v>
      </c>
      <c r="M108" s="30">
        <f>IF(E108=1,'00-BUDGET'!E$21*L108,'00-BUDGET'!F$21*L108)</f>
        <v>8503.4171641896992</v>
      </c>
      <c r="N108" s="8">
        <f>IF(E108=1,'00-BUDGET'!H$21*L108,'00-BUDGET'!I$21*L108)</f>
        <v>12755.125746284553</v>
      </c>
      <c r="O108" s="8">
        <f>IF(E108=1,'00-BUDGET'!K$21*L108,'00-BUDGET'!L$21*L108)</f>
        <v>17006.834328379406</v>
      </c>
    </row>
    <row r="109" spans="1:15" ht="75" x14ac:dyDescent="0.3">
      <c r="A109" s="5" t="str">
        <f t="shared" si="7"/>
        <v>AIAS-Oliena11</v>
      </c>
      <c r="B109" s="26" t="s">
        <v>73</v>
      </c>
      <c r="C109" s="26" t="s">
        <v>29</v>
      </c>
      <c r="D109" s="26" t="s">
        <v>96</v>
      </c>
      <c r="E109" s="26">
        <v>11</v>
      </c>
      <c r="F109" s="8">
        <v>9.2430262319887796E-2</v>
      </c>
      <c r="G109" s="27" t="str">
        <f t="shared" si="8"/>
        <v>Nuoro11</v>
      </c>
      <c r="H109" s="28">
        <f t="shared" si="9"/>
        <v>4</v>
      </c>
      <c r="I109" s="28">
        <f t="shared" si="10"/>
        <v>56</v>
      </c>
      <c r="J109" s="8">
        <f t="shared" si="11"/>
        <v>0.9285714285714286</v>
      </c>
      <c r="K109" s="8">
        <f t="shared" si="12"/>
        <v>0.51050084544565821</v>
      </c>
      <c r="L109" s="29">
        <f t="shared" si="13"/>
        <v>3.1910446000090074E-3</v>
      </c>
      <c r="M109" s="30">
        <f>IF(E109=1,'00-BUDGET'!E$21*L109,'00-BUDGET'!F$21*L109)</f>
        <v>8421.8375744291316</v>
      </c>
      <c r="N109" s="8">
        <f>IF(E109=1,'00-BUDGET'!H$21*L109,'00-BUDGET'!I$21*L109)</f>
        <v>12632.7563616437</v>
      </c>
      <c r="O109" s="8">
        <f>IF(E109=1,'00-BUDGET'!K$21*L109,'00-BUDGET'!L$21*L109)</f>
        <v>16843.67514885827</v>
      </c>
    </row>
    <row r="110" spans="1:15" ht="75" x14ac:dyDescent="0.3">
      <c r="A110" s="5" t="str">
        <f t="shared" si="7"/>
        <v>AIAS-Orosei5</v>
      </c>
      <c r="B110" s="26" t="s">
        <v>73</v>
      </c>
      <c r="C110" s="26" t="s">
        <v>29</v>
      </c>
      <c r="D110" s="26" t="s">
        <v>97</v>
      </c>
      <c r="E110" s="26">
        <v>5</v>
      </c>
      <c r="F110" s="8">
        <v>9.2430262319887796E-2</v>
      </c>
      <c r="G110" s="27" t="str">
        <f t="shared" si="8"/>
        <v>Nuoro5</v>
      </c>
      <c r="H110" s="28">
        <f t="shared" si="9"/>
        <v>3</v>
      </c>
      <c r="I110" s="28">
        <f t="shared" si="10"/>
        <v>23</v>
      </c>
      <c r="J110" s="8">
        <f t="shared" si="11"/>
        <v>0.86956521739130432</v>
      </c>
      <c r="K110" s="8">
        <f t="shared" si="12"/>
        <v>0.48099773985559607</v>
      </c>
      <c r="L110" s="29">
        <f t="shared" si="13"/>
        <v>3.006626245726997E-3</v>
      </c>
      <c r="M110" s="30">
        <f>IF(E110=1,'00-BUDGET'!E$21*L110,'00-BUDGET'!F$21*L110)</f>
        <v>7935.1187659542402</v>
      </c>
      <c r="N110" s="8">
        <f>IF(E110=1,'00-BUDGET'!H$21*L110,'00-BUDGET'!I$21*L110)</f>
        <v>11902.678148931365</v>
      </c>
      <c r="O110" s="8">
        <f>IF(E110=1,'00-BUDGET'!K$21*L110,'00-BUDGET'!L$21*L110)</f>
        <v>15870.237531908489</v>
      </c>
    </row>
    <row r="111" spans="1:15" ht="75" x14ac:dyDescent="0.3">
      <c r="A111" s="5" t="str">
        <f t="shared" si="7"/>
        <v>AIAS-Orosei8</v>
      </c>
      <c r="B111" s="26" t="s">
        <v>73</v>
      </c>
      <c r="C111" s="26" t="s">
        <v>29</v>
      </c>
      <c r="D111" s="26" t="s">
        <v>97</v>
      </c>
      <c r="E111" s="26">
        <v>8</v>
      </c>
      <c r="F111" s="8">
        <v>9.2430262319887796E-2</v>
      </c>
      <c r="G111" s="27" t="str">
        <f t="shared" si="8"/>
        <v>Nuoro8</v>
      </c>
      <c r="H111" s="28">
        <f t="shared" si="9"/>
        <v>4</v>
      </c>
      <c r="I111" s="28">
        <f t="shared" si="10"/>
        <v>67</v>
      </c>
      <c r="J111" s="8">
        <f t="shared" si="11"/>
        <v>0.94029850746268662</v>
      </c>
      <c r="K111" s="8">
        <f t="shared" si="12"/>
        <v>0.51636438489128722</v>
      </c>
      <c r="L111" s="29">
        <f t="shared" si="13"/>
        <v>3.227696480318001E-3</v>
      </c>
      <c r="M111" s="30">
        <f>IF(E111=1,'00-BUDGET'!E$21*L111,'00-BUDGET'!F$21*L111)</f>
        <v>8518.5695921385959</v>
      </c>
      <c r="N111" s="8">
        <f>IF(E111=1,'00-BUDGET'!H$21*L111,'00-BUDGET'!I$21*L111)</f>
        <v>12777.854388207898</v>
      </c>
      <c r="O111" s="8">
        <f>IF(E111=1,'00-BUDGET'!K$21*L111,'00-BUDGET'!L$21*L111)</f>
        <v>17037.139184277199</v>
      </c>
    </row>
    <row r="112" spans="1:15" ht="75" x14ac:dyDescent="0.3">
      <c r="A112" s="5" t="str">
        <f t="shared" si="7"/>
        <v>AIAS-Orosei9</v>
      </c>
      <c r="B112" s="26" t="s">
        <v>73</v>
      </c>
      <c r="C112" s="26" t="s">
        <v>29</v>
      </c>
      <c r="D112" s="26" t="s">
        <v>97</v>
      </c>
      <c r="E112" s="26">
        <v>9</v>
      </c>
      <c r="F112" s="8">
        <v>9.2430262319887796E-2</v>
      </c>
      <c r="G112" s="27" t="str">
        <f t="shared" si="8"/>
        <v>Nuoro9</v>
      </c>
      <c r="H112" s="28">
        <f t="shared" si="9"/>
        <v>4</v>
      </c>
      <c r="I112" s="28">
        <f t="shared" si="10"/>
        <v>60</v>
      </c>
      <c r="J112" s="8">
        <f t="shared" si="11"/>
        <v>0.93333333333333335</v>
      </c>
      <c r="K112" s="8">
        <f t="shared" si="12"/>
        <v>0.51288179782661059</v>
      </c>
      <c r="L112" s="29">
        <f t="shared" si="13"/>
        <v>3.205927484740538E-3</v>
      </c>
      <c r="M112" s="30">
        <f>IF(E112=1,'00-BUDGET'!E$21*L112,'00-BUDGET'!F$21*L112)</f>
        <v>8461.1166361657015</v>
      </c>
      <c r="N112" s="8">
        <f>IF(E112=1,'00-BUDGET'!H$21*L112,'00-BUDGET'!I$21*L112)</f>
        <v>12691.674954248556</v>
      </c>
      <c r="O112" s="8">
        <f>IF(E112=1,'00-BUDGET'!K$21*L112,'00-BUDGET'!L$21*L112)</f>
        <v>16922.23327233141</v>
      </c>
    </row>
    <row r="113" spans="1:15" ht="75" x14ac:dyDescent="0.3">
      <c r="A113" s="5" t="str">
        <f t="shared" si="7"/>
        <v>AIAS-Orosei10</v>
      </c>
      <c r="B113" s="26" t="s">
        <v>73</v>
      </c>
      <c r="C113" s="26" t="s">
        <v>29</v>
      </c>
      <c r="D113" s="26" t="s">
        <v>97</v>
      </c>
      <c r="E113" s="26">
        <v>10</v>
      </c>
      <c r="F113" s="8">
        <v>9.2430262319887796E-2</v>
      </c>
      <c r="G113" s="27" t="str">
        <f t="shared" si="8"/>
        <v>Nuoro10</v>
      </c>
      <c r="H113" s="28">
        <f t="shared" si="9"/>
        <v>4</v>
      </c>
      <c r="I113" s="28">
        <f t="shared" si="10"/>
        <v>65</v>
      </c>
      <c r="J113" s="8">
        <f t="shared" si="11"/>
        <v>0.93846153846153846</v>
      </c>
      <c r="K113" s="8">
        <f t="shared" si="12"/>
        <v>0.51544590039071314</v>
      </c>
      <c r="L113" s="29">
        <f t="shared" si="13"/>
        <v>3.2219552067591093E-3</v>
      </c>
      <c r="M113" s="30">
        <f>IF(E113=1,'00-BUDGET'!E$21*L113,'00-BUDGET'!F$21*L113)</f>
        <v>8503.4171641896992</v>
      </c>
      <c r="N113" s="8">
        <f>IF(E113=1,'00-BUDGET'!H$21*L113,'00-BUDGET'!I$21*L113)</f>
        <v>12755.125746284553</v>
      </c>
      <c r="O113" s="8">
        <f>IF(E113=1,'00-BUDGET'!K$21*L113,'00-BUDGET'!L$21*L113)</f>
        <v>17006.834328379406</v>
      </c>
    </row>
    <row r="114" spans="1:15" ht="75" x14ac:dyDescent="0.3">
      <c r="A114" s="5" t="str">
        <f t="shared" si="7"/>
        <v>AIAS-Orosei11</v>
      </c>
      <c r="B114" s="26" t="s">
        <v>73</v>
      </c>
      <c r="C114" s="26" t="s">
        <v>29</v>
      </c>
      <c r="D114" s="26" t="s">
        <v>97</v>
      </c>
      <c r="E114" s="26">
        <v>11</v>
      </c>
      <c r="F114" s="8">
        <v>9.2430262319887796E-2</v>
      </c>
      <c r="G114" s="27" t="str">
        <f t="shared" si="8"/>
        <v>Nuoro11</v>
      </c>
      <c r="H114" s="28">
        <f t="shared" si="9"/>
        <v>4</v>
      </c>
      <c r="I114" s="28">
        <f t="shared" si="10"/>
        <v>56</v>
      </c>
      <c r="J114" s="8">
        <f t="shared" si="11"/>
        <v>0.9285714285714286</v>
      </c>
      <c r="K114" s="8">
        <f t="shared" si="12"/>
        <v>0.51050084544565821</v>
      </c>
      <c r="L114" s="29">
        <f t="shared" si="13"/>
        <v>3.1910446000090074E-3</v>
      </c>
      <c r="M114" s="30">
        <f>IF(E114=1,'00-BUDGET'!E$21*L114,'00-BUDGET'!F$21*L114)</f>
        <v>8421.8375744291316</v>
      </c>
      <c r="N114" s="8">
        <f>IF(E114=1,'00-BUDGET'!H$21*L114,'00-BUDGET'!I$21*L114)</f>
        <v>12632.7563616437</v>
      </c>
      <c r="O114" s="8">
        <f>IF(E114=1,'00-BUDGET'!K$21*L114,'00-BUDGET'!L$21*L114)</f>
        <v>16843.67514885827</v>
      </c>
    </row>
    <row r="115" spans="1:15" ht="75" x14ac:dyDescent="0.3">
      <c r="A115" s="5" t="str">
        <f t="shared" si="7"/>
        <v>AIAS-Perdasdefogu8</v>
      </c>
      <c r="B115" s="26" t="s">
        <v>75</v>
      </c>
      <c r="C115" s="26" t="s">
        <v>29</v>
      </c>
      <c r="D115" s="26" t="s">
        <v>98</v>
      </c>
      <c r="E115" s="26">
        <v>8</v>
      </c>
      <c r="F115" s="8">
        <v>3.4539845648234001E-2</v>
      </c>
      <c r="G115" s="27" t="str">
        <f t="shared" si="8"/>
        <v>Ogliastra8</v>
      </c>
      <c r="H115" s="28">
        <f t="shared" si="9"/>
        <v>4</v>
      </c>
      <c r="I115" s="28">
        <f t="shared" si="10"/>
        <v>67</v>
      </c>
      <c r="J115" s="8">
        <f t="shared" si="11"/>
        <v>0.94029850746268662</v>
      </c>
      <c r="K115" s="8">
        <f t="shared" si="12"/>
        <v>0.4874191765554603</v>
      </c>
      <c r="L115" s="29">
        <f t="shared" si="13"/>
        <v>3.0467654366572549E-3</v>
      </c>
      <c r="M115" s="30">
        <f>IF(E115=1,'00-BUDGET'!E$21*L115,'00-BUDGET'!F$21*L115)</f>
        <v>8041.054529554247</v>
      </c>
      <c r="N115" s="8">
        <f>IF(E115=1,'00-BUDGET'!H$21*L115,'00-BUDGET'!I$21*L115)</f>
        <v>12061.581794331374</v>
      </c>
      <c r="O115" s="8">
        <f>IF(E115=1,'00-BUDGET'!K$21*L115,'00-BUDGET'!L$21*L115)</f>
        <v>16082.109059108501</v>
      </c>
    </row>
    <row r="116" spans="1:15" ht="75" x14ac:dyDescent="0.3">
      <c r="A116" s="5" t="str">
        <f t="shared" si="7"/>
        <v>AIAS-Perdasdefogu9</v>
      </c>
      <c r="B116" s="26" t="s">
        <v>75</v>
      </c>
      <c r="C116" s="26" t="s">
        <v>29</v>
      </c>
      <c r="D116" s="26" t="s">
        <v>98</v>
      </c>
      <c r="E116" s="26">
        <v>9</v>
      </c>
      <c r="F116" s="8">
        <v>3.4539845648234001E-2</v>
      </c>
      <c r="G116" s="27" t="str">
        <f t="shared" si="8"/>
        <v>Ogliastra9</v>
      </c>
      <c r="H116" s="28">
        <f t="shared" si="9"/>
        <v>4</v>
      </c>
      <c r="I116" s="28">
        <f t="shared" si="10"/>
        <v>60</v>
      </c>
      <c r="J116" s="8">
        <f t="shared" si="11"/>
        <v>0.93333333333333335</v>
      </c>
      <c r="K116" s="8">
        <f t="shared" si="12"/>
        <v>0.48393658949078366</v>
      </c>
      <c r="L116" s="29">
        <f t="shared" si="13"/>
        <v>3.0249964410797919E-3</v>
      </c>
      <c r="M116" s="30">
        <f>IF(E116=1,'00-BUDGET'!E$21*L116,'00-BUDGET'!F$21*L116)</f>
        <v>7983.6015735813526</v>
      </c>
      <c r="N116" s="8">
        <f>IF(E116=1,'00-BUDGET'!H$21*L116,'00-BUDGET'!I$21*L116)</f>
        <v>11975.402360372032</v>
      </c>
      <c r="O116" s="8">
        <f>IF(E116=1,'00-BUDGET'!K$21*L116,'00-BUDGET'!L$21*L116)</f>
        <v>15967.203147162712</v>
      </c>
    </row>
    <row r="117" spans="1:15" ht="75" x14ac:dyDescent="0.3">
      <c r="A117" s="5" t="str">
        <f t="shared" si="7"/>
        <v>AIAS-Perdasdefogu10</v>
      </c>
      <c r="B117" s="26" t="s">
        <v>75</v>
      </c>
      <c r="C117" s="26" t="s">
        <v>29</v>
      </c>
      <c r="D117" s="26" t="s">
        <v>98</v>
      </c>
      <c r="E117" s="26">
        <v>10</v>
      </c>
      <c r="F117" s="8">
        <v>3.4539845648234001E-2</v>
      </c>
      <c r="G117" s="27" t="str">
        <f t="shared" si="8"/>
        <v>Ogliastra10</v>
      </c>
      <c r="H117" s="28">
        <f t="shared" si="9"/>
        <v>4</v>
      </c>
      <c r="I117" s="28">
        <f t="shared" si="10"/>
        <v>65</v>
      </c>
      <c r="J117" s="8">
        <f t="shared" si="11"/>
        <v>0.93846153846153846</v>
      </c>
      <c r="K117" s="8">
        <f t="shared" si="12"/>
        <v>0.48650069205488622</v>
      </c>
      <c r="L117" s="29">
        <f t="shared" si="13"/>
        <v>3.0410241630983632E-3</v>
      </c>
      <c r="M117" s="30">
        <f>IF(E117=1,'00-BUDGET'!E$21*L117,'00-BUDGET'!F$21*L117)</f>
        <v>8025.9021016053503</v>
      </c>
      <c r="N117" s="8">
        <f>IF(E117=1,'00-BUDGET'!H$21*L117,'00-BUDGET'!I$21*L117)</f>
        <v>12038.85315240803</v>
      </c>
      <c r="O117" s="8">
        <f>IF(E117=1,'00-BUDGET'!K$21*L117,'00-BUDGET'!L$21*L117)</f>
        <v>16051.80420321071</v>
      </c>
    </row>
    <row r="118" spans="1:15" ht="75" x14ac:dyDescent="0.3">
      <c r="A118" s="5" t="str">
        <f t="shared" si="7"/>
        <v>AIAS-Perdasdefogu11</v>
      </c>
      <c r="B118" s="26" t="s">
        <v>75</v>
      </c>
      <c r="C118" s="26" t="s">
        <v>29</v>
      </c>
      <c r="D118" s="26" t="s">
        <v>98</v>
      </c>
      <c r="E118" s="26">
        <v>11</v>
      </c>
      <c r="F118" s="8">
        <v>3.4539845648234001E-2</v>
      </c>
      <c r="G118" s="27" t="str">
        <f t="shared" si="8"/>
        <v>Ogliastra11</v>
      </c>
      <c r="H118" s="28">
        <f t="shared" si="9"/>
        <v>4</v>
      </c>
      <c r="I118" s="28">
        <f t="shared" si="10"/>
        <v>56</v>
      </c>
      <c r="J118" s="8">
        <f t="shared" si="11"/>
        <v>0.9285714285714286</v>
      </c>
      <c r="K118" s="8">
        <f t="shared" si="12"/>
        <v>0.48155563710983129</v>
      </c>
      <c r="L118" s="29">
        <f t="shared" si="13"/>
        <v>3.0101135563482613E-3</v>
      </c>
      <c r="M118" s="30">
        <f>IF(E118=1,'00-BUDGET'!E$21*L118,'00-BUDGET'!F$21*L118)</f>
        <v>7944.3225118447826</v>
      </c>
      <c r="N118" s="8">
        <f>IF(E118=1,'00-BUDGET'!H$21*L118,'00-BUDGET'!I$21*L118)</f>
        <v>11916.483767767179</v>
      </c>
      <c r="O118" s="8">
        <f>IF(E118=1,'00-BUDGET'!K$21*L118,'00-BUDGET'!L$21*L118)</f>
        <v>15888.645023689573</v>
      </c>
    </row>
    <row r="119" spans="1:15" ht="75" x14ac:dyDescent="0.3">
      <c r="A119" s="5" t="str">
        <f t="shared" si="7"/>
        <v>AIAS-Pula3</v>
      </c>
      <c r="B119" s="26" t="s">
        <v>77</v>
      </c>
      <c r="C119" s="26" t="s">
        <v>29</v>
      </c>
      <c r="D119" s="26" t="s">
        <v>99</v>
      </c>
      <c r="E119" s="26">
        <v>3</v>
      </c>
      <c r="F119" s="8">
        <v>0.34343362439390401</v>
      </c>
      <c r="G119" s="27" t="str">
        <f t="shared" si="8"/>
        <v>Cagliari3</v>
      </c>
      <c r="H119" s="28">
        <f t="shared" si="9"/>
        <v>4</v>
      </c>
      <c r="I119" s="28">
        <f t="shared" si="10"/>
        <v>10</v>
      </c>
      <c r="J119" s="8">
        <f t="shared" si="11"/>
        <v>0.6</v>
      </c>
      <c r="K119" s="8">
        <f t="shared" si="12"/>
        <v>0.471716812196952</v>
      </c>
      <c r="L119" s="29">
        <f t="shared" si="13"/>
        <v>2.9486129155779812E-3</v>
      </c>
      <c r="M119" s="30">
        <f>IF(E119=1,'00-BUDGET'!E$21*L119,'00-BUDGET'!F$21*L119)</f>
        <v>7782.0093911540998</v>
      </c>
      <c r="N119" s="8">
        <f>IF(E119=1,'00-BUDGET'!H$21*L119,'00-BUDGET'!I$21*L119)</f>
        <v>11673.014086731153</v>
      </c>
      <c r="O119" s="8">
        <f>IF(E119=1,'00-BUDGET'!K$21*L119,'00-BUDGET'!L$21*L119)</f>
        <v>15564.018782308207</v>
      </c>
    </row>
    <row r="120" spans="1:15" ht="75" x14ac:dyDescent="0.3">
      <c r="A120" s="5" t="str">
        <f t="shared" si="7"/>
        <v>AIAS-Pula5</v>
      </c>
      <c r="B120" s="26" t="s">
        <v>77</v>
      </c>
      <c r="C120" s="26" t="s">
        <v>29</v>
      </c>
      <c r="D120" s="26" t="s">
        <v>99</v>
      </c>
      <c r="E120" s="26">
        <v>5</v>
      </c>
      <c r="F120" s="8">
        <v>0.34343362439390401</v>
      </c>
      <c r="G120" s="27" t="str">
        <f t="shared" si="8"/>
        <v>Cagliari5</v>
      </c>
      <c r="H120" s="28">
        <f t="shared" si="9"/>
        <v>11</v>
      </c>
      <c r="I120" s="28">
        <f t="shared" si="10"/>
        <v>23</v>
      </c>
      <c r="J120" s="8">
        <f t="shared" si="11"/>
        <v>0.52173913043478259</v>
      </c>
      <c r="K120" s="8">
        <f t="shared" si="12"/>
        <v>0.4325863774143433</v>
      </c>
      <c r="L120" s="29">
        <f t="shared" si="13"/>
        <v>2.7040159404249993E-3</v>
      </c>
      <c r="M120" s="30">
        <f>IF(E120=1,'00-BUDGET'!E$21*L120,'00-BUDGET'!F$21*L120)</f>
        <v>7136.4665504400346</v>
      </c>
      <c r="N120" s="8">
        <f>IF(E120=1,'00-BUDGET'!H$21*L120,'00-BUDGET'!I$21*L120)</f>
        <v>10704.699825660056</v>
      </c>
      <c r="O120" s="8">
        <f>IF(E120=1,'00-BUDGET'!K$21*L120,'00-BUDGET'!L$21*L120)</f>
        <v>14272.933100880076</v>
      </c>
    </row>
    <row r="121" spans="1:15" ht="75" x14ac:dyDescent="0.3">
      <c r="A121" s="5" t="str">
        <f t="shared" si="7"/>
        <v>AIAS-Pula7</v>
      </c>
      <c r="B121" s="26" t="s">
        <v>77</v>
      </c>
      <c r="C121" s="26" t="s">
        <v>29</v>
      </c>
      <c r="D121" s="26" t="s">
        <v>99</v>
      </c>
      <c r="E121" s="26">
        <v>7</v>
      </c>
      <c r="F121" s="8">
        <v>0.34343362439390401</v>
      </c>
      <c r="G121" s="27" t="str">
        <f t="shared" si="8"/>
        <v>Cagliari7</v>
      </c>
      <c r="H121" s="28">
        <f t="shared" si="9"/>
        <v>15</v>
      </c>
      <c r="I121" s="28">
        <f t="shared" si="10"/>
        <v>32</v>
      </c>
      <c r="J121" s="8">
        <f t="shared" si="11"/>
        <v>0.53125</v>
      </c>
      <c r="K121" s="8">
        <f t="shared" si="12"/>
        <v>0.43734181219695201</v>
      </c>
      <c r="L121" s="29">
        <f t="shared" si="13"/>
        <v>2.7337412672665076E-3</v>
      </c>
      <c r="M121" s="30">
        <f>IF(E121=1,'00-BUDGET'!E$21*L121,'00-BUDGET'!F$21*L121)</f>
        <v>7214.9179373323695</v>
      </c>
      <c r="N121" s="8">
        <f>IF(E121=1,'00-BUDGET'!H$21*L121,'00-BUDGET'!I$21*L121)</f>
        <v>10822.376905998557</v>
      </c>
      <c r="O121" s="8">
        <f>IF(E121=1,'00-BUDGET'!K$21*L121,'00-BUDGET'!L$21*L121)</f>
        <v>14429.835874664746</v>
      </c>
    </row>
    <row r="122" spans="1:15" ht="75" x14ac:dyDescent="0.3">
      <c r="A122" s="5" t="str">
        <f t="shared" si="7"/>
        <v>AIAS-Pula8</v>
      </c>
      <c r="B122" s="26" t="s">
        <v>77</v>
      </c>
      <c r="C122" s="26" t="s">
        <v>29</v>
      </c>
      <c r="D122" s="26" t="s">
        <v>99</v>
      </c>
      <c r="E122" s="26">
        <v>8</v>
      </c>
      <c r="F122" s="8">
        <v>0.34343362439390401</v>
      </c>
      <c r="G122" s="27" t="str">
        <f t="shared" si="8"/>
        <v>Cagliari8</v>
      </c>
      <c r="H122" s="28">
        <f t="shared" si="9"/>
        <v>26</v>
      </c>
      <c r="I122" s="28">
        <f t="shared" si="10"/>
        <v>67</v>
      </c>
      <c r="J122" s="8">
        <f t="shared" si="11"/>
        <v>0.61194029850746268</v>
      </c>
      <c r="K122" s="8">
        <f t="shared" si="12"/>
        <v>0.47768696145068335</v>
      </c>
      <c r="L122" s="29">
        <f t="shared" si="13"/>
        <v>2.9859311937107747E-3</v>
      </c>
      <c r="M122" s="30">
        <f>IF(E122=1,'00-BUDGET'!E$21*L122,'00-BUDGET'!F$21*L122)</f>
        <v>7880.5001728219177</v>
      </c>
      <c r="N122" s="8">
        <f>IF(E122=1,'00-BUDGET'!H$21*L122,'00-BUDGET'!I$21*L122)</f>
        <v>11820.75025923288</v>
      </c>
      <c r="O122" s="8">
        <f>IF(E122=1,'00-BUDGET'!K$21*L122,'00-BUDGET'!L$21*L122)</f>
        <v>15761.000345643844</v>
      </c>
    </row>
    <row r="123" spans="1:15" ht="75" x14ac:dyDescent="0.3">
      <c r="A123" s="5" t="str">
        <f t="shared" si="7"/>
        <v>AIAS-Pula9</v>
      </c>
      <c r="B123" s="26" t="s">
        <v>77</v>
      </c>
      <c r="C123" s="26" t="s">
        <v>29</v>
      </c>
      <c r="D123" s="26" t="s">
        <v>99</v>
      </c>
      <c r="E123" s="26">
        <v>9</v>
      </c>
      <c r="F123" s="8">
        <v>0.34343362439390401</v>
      </c>
      <c r="G123" s="27" t="str">
        <f t="shared" si="8"/>
        <v>Cagliari9</v>
      </c>
      <c r="H123" s="28">
        <f t="shared" si="9"/>
        <v>22</v>
      </c>
      <c r="I123" s="28">
        <f t="shared" si="10"/>
        <v>60</v>
      </c>
      <c r="J123" s="8">
        <f t="shared" si="11"/>
        <v>0.6333333333333333</v>
      </c>
      <c r="K123" s="8">
        <f t="shared" si="12"/>
        <v>0.48838347886361866</v>
      </c>
      <c r="L123" s="29">
        <f t="shared" si="13"/>
        <v>3.0527931086986961E-3</v>
      </c>
      <c r="M123" s="30">
        <f>IF(E123=1,'00-BUDGET'!E$21*L123,'00-BUDGET'!F$21*L123)</f>
        <v>8056.9628233100912</v>
      </c>
      <c r="N123" s="8">
        <f>IF(E123=1,'00-BUDGET'!H$21*L123,'00-BUDGET'!I$21*L123)</f>
        <v>12085.444234965142</v>
      </c>
      <c r="O123" s="8">
        <f>IF(E123=1,'00-BUDGET'!K$21*L123,'00-BUDGET'!L$21*L123)</f>
        <v>16113.925646620191</v>
      </c>
    </row>
    <row r="124" spans="1:15" ht="75" x14ac:dyDescent="0.3">
      <c r="A124" s="5" t="str">
        <f t="shared" si="7"/>
        <v>AIAS-Pula10</v>
      </c>
      <c r="B124" s="26" t="s">
        <v>77</v>
      </c>
      <c r="C124" s="26" t="s">
        <v>29</v>
      </c>
      <c r="D124" s="26" t="s">
        <v>99</v>
      </c>
      <c r="E124" s="26">
        <v>10</v>
      </c>
      <c r="F124" s="8">
        <v>0.34343362439390401</v>
      </c>
      <c r="G124" s="27" t="str">
        <f t="shared" si="8"/>
        <v>Cagliari10</v>
      </c>
      <c r="H124" s="28">
        <f t="shared" si="9"/>
        <v>26</v>
      </c>
      <c r="I124" s="28">
        <f t="shared" si="10"/>
        <v>65</v>
      </c>
      <c r="J124" s="8">
        <f t="shared" si="11"/>
        <v>0.6</v>
      </c>
      <c r="K124" s="8">
        <f t="shared" si="12"/>
        <v>0.471716812196952</v>
      </c>
      <c r="L124" s="29">
        <f t="shared" si="13"/>
        <v>2.9486129155779812E-3</v>
      </c>
      <c r="M124" s="30">
        <f>IF(E124=1,'00-BUDGET'!E$21*L124,'00-BUDGET'!F$21*L124)</f>
        <v>7782.0093911540998</v>
      </c>
      <c r="N124" s="8">
        <f>IF(E124=1,'00-BUDGET'!H$21*L124,'00-BUDGET'!I$21*L124)</f>
        <v>11673.014086731153</v>
      </c>
      <c r="O124" s="8">
        <f>IF(E124=1,'00-BUDGET'!K$21*L124,'00-BUDGET'!L$21*L124)</f>
        <v>15564.018782308207</v>
      </c>
    </row>
    <row r="125" spans="1:15" ht="75" x14ac:dyDescent="0.3">
      <c r="A125" s="5" t="str">
        <f t="shared" si="7"/>
        <v>AIAS-Pula11</v>
      </c>
      <c r="B125" s="26" t="s">
        <v>77</v>
      </c>
      <c r="C125" s="26" t="s">
        <v>29</v>
      </c>
      <c r="D125" s="26" t="s">
        <v>99</v>
      </c>
      <c r="E125" s="26">
        <v>11</v>
      </c>
      <c r="F125" s="8">
        <v>0.34343362439390401</v>
      </c>
      <c r="G125" s="27" t="str">
        <f t="shared" si="8"/>
        <v>Cagliari11</v>
      </c>
      <c r="H125" s="28">
        <f t="shared" si="9"/>
        <v>19</v>
      </c>
      <c r="I125" s="28">
        <f t="shared" si="10"/>
        <v>56</v>
      </c>
      <c r="J125" s="8">
        <f t="shared" si="11"/>
        <v>0.6607142857142857</v>
      </c>
      <c r="K125" s="8">
        <f t="shared" si="12"/>
        <v>0.50207395505409491</v>
      </c>
      <c r="L125" s="29">
        <f t="shared" si="13"/>
        <v>3.1383696959049979E-3</v>
      </c>
      <c r="M125" s="30">
        <f>IF(E125=1,'00-BUDGET'!E$21*L125,'00-BUDGET'!F$21*L125)</f>
        <v>8282.8174282953714</v>
      </c>
      <c r="N125" s="8">
        <f>IF(E125=1,'00-BUDGET'!H$21*L125,'00-BUDGET'!I$21*L125)</f>
        <v>12424.22614244306</v>
      </c>
      <c r="O125" s="8">
        <f>IF(E125=1,'00-BUDGET'!K$21*L125,'00-BUDGET'!L$21*L125)</f>
        <v>16565.63485659075</v>
      </c>
    </row>
    <row r="126" spans="1:15" ht="75" x14ac:dyDescent="0.3">
      <c r="A126" s="5" t="str">
        <f t="shared" si="7"/>
        <v>AIAS-Quartu Sant'Elena5</v>
      </c>
      <c r="B126" s="26" t="s">
        <v>77</v>
      </c>
      <c r="C126" s="26" t="s">
        <v>29</v>
      </c>
      <c r="D126" s="26" t="s">
        <v>100</v>
      </c>
      <c r="E126" s="26">
        <v>5</v>
      </c>
      <c r="F126" s="8">
        <v>0.34343362439390401</v>
      </c>
      <c r="G126" s="27" t="str">
        <f t="shared" si="8"/>
        <v>Cagliari5</v>
      </c>
      <c r="H126" s="28">
        <f t="shared" si="9"/>
        <v>11</v>
      </c>
      <c r="I126" s="28">
        <f t="shared" si="10"/>
        <v>23</v>
      </c>
      <c r="J126" s="8">
        <f t="shared" si="11"/>
        <v>0.52173913043478259</v>
      </c>
      <c r="K126" s="8">
        <f t="shared" si="12"/>
        <v>0.4325863774143433</v>
      </c>
      <c r="L126" s="29">
        <f t="shared" si="13"/>
        <v>2.7040159404249993E-3</v>
      </c>
      <c r="M126" s="30">
        <f>IF(E126=1,'00-BUDGET'!E$21*L126,'00-BUDGET'!F$21*L126)</f>
        <v>7136.4665504400346</v>
      </c>
      <c r="N126" s="8">
        <f>IF(E126=1,'00-BUDGET'!H$21*L126,'00-BUDGET'!I$21*L126)</f>
        <v>10704.699825660056</v>
      </c>
      <c r="O126" s="8">
        <f>IF(E126=1,'00-BUDGET'!K$21*L126,'00-BUDGET'!L$21*L126)</f>
        <v>14272.933100880076</v>
      </c>
    </row>
    <row r="127" spans="1:15" ht="75" x14ac:dyDescent="0.3">
      <c r="A127" s="5" t="str">
        <f t="shared" si="7"/>
        <v>AIAS-Quartu Sant'Elena7</v>
      </c>
      <c r="B127" s="26" t="s">
        <v>77</v>
      </c>
      <c r="C127" s="26" t="s">
        <v>29</v>
      </c>
      <c r="D127" s="26" t="s">
        <v>100</v>
      </c>
      <c r="E127" s="26">
        <v>7</v>
      </c>
      <c r="F127" s="8">
        <v>0.34343362439390401</v>
      </c>
      <c r="G127" s="27" t="str">
        <f t="shared" si="8"/>
        <v>Cagliari7</v>
      </c>
      <c r="H127" s="28">
        <f t="shared" si="9"/>
        <v>15</v>
      </c>
      <c r="I127" s="28">
        <f t="shared" si="10"/>
        <v>32</v>
      </c>
      <c r="J127" s="8">
        <f t="shared" si="11"/>
        <v>0.53125</v>
      </c>
      <c r="K127" s="8">
        <f t="shared" si="12"/>
        <v>0.43734181219695201</v>
      </c>
      <c r="L127" s="29">
        <f t="shared" si="13"/>
        <v>2.7337412672665076E-3</v>
      </c>
      <c r="M127" s="30">
        <f>IF(E127=1,'00-BUDGET'!E$21*L127,'00-BUDGET'!F$21*L127)</f>
        <v>7214.9179373323695</v>
      </c>
      <c r="N127" s="8">
        <f>IF(E127=1,'00-BUDGET'!H$21*L127,'00-BUDGET'!I$21*L127)</f>
        <v>10822.376905998557</v>
      </c>
      <c r="O127" s="8">
        <f>IF(E127=1,'00-BUDGET'!K$21*L127,'00-BUDGET'!L$21*L127)</f>
        <v>14429.835874664746</v>
      </c>
    </row>
    <row r="128" spans="1:15" ht="75" x14ac:dyDescent="0.3">
      <c r="A128" s="5" t="str">
        <f t="shared" si="7"/>
        <v>AIAS-Quartu Sant'Elena8</v>
      </c>
      <c r="B128" s="26" t="s">
        <v>77</v>
      </c>
      <c r="C128" s="26" t="s">
        <v>29</v>
      </c>
      <c r="D128" s="26" t="s">
        <v>100</v>
      </c>
      <c r="E128" s="26">
        <v>8</v>
      </c>
      <c r="F128" s="8">
        <v>0.34343362439390401</v>
      </c>
      <c r="G128" s="27" t="str">
        <f t="shared" si="8"/>
        <v>Cagliari8</v>
      </c>
      <c r="H128" s="28">
        <f t="shared" si="9"/>
        <v>26</v>
      </c>
      <c r="I128" s="28">
        <f t="shared" si="10"/>
        <v>67</v>
      </c>
      <c r="J128" s="8">
        <f t="shared" si="11"/>
        <v>0.61194029850746268</v>
      </c>
      <c r="K128" s="8">
        <f t="shared" si="12"/>
        <v>0.47768696145068335</v>
      </c>
      <c r="L128" s="29">
        <f t="shared" si="13"/>
        <v>2.9859311937107747E-3</v>
      </c>
      <c r="M128" s="30">
        <f>IF(E128=1,'00-BUDGET'!E$21*L128,'00-BUDGET'!F$21*L128)</f>
        <v>7880.5001728219177</v>
      </c>
      <c r="N128" s="8">
        <f>IF(E128=1,'00-BUDGET'!H$21*L128,'00-BUDGET'!I$21*L128)</f>
        <v>11820.75025923288</v>
      </c>
      <c r="O128" s="8">
        <f>IF(E128=1,'00-BUDGET'!K$21*L128,'00-BUDGET'!L$21*L128)</f>
        <v>15761.000345643844</v>
      </c>
    </row>
    <row r="129" spans="1:15" ht="75" x14ac:dyDescent="0.3">
      <c r="A129" s="5" t="str">
        <f t="shared" si="7"/>
        <v>AIAS-Quartu Sant'Elena9</v>
      </c>
      <c r="B129" s="26" t="s">
        <v>77</v>
      </c>
      <c r="C129" s="26" t="s">
        <v>29</v>
      </c>
      <c r="D129" s="26" t="s">
        <v>100</v>
      </c>
      <c r="E129" s="26">
        <v>9</v>
      </c>
      <c r="F129" s="8">
        <v>0.34343362439390401</v>
      </c>
      <c r="G129" s="27" t="str">
        <f t="shared" si="8"/>
        <v>Cagliari9</v>
      </c>
      <c r="H129" s="28">
        <f t="shared" si="9"/>
        <v>22</v>
      </c>
      <c r="I129" s="28">
        <f t="shared" si="10"/>
        <v>60</v>
      </c>
      <c r="J129" s="8">
        <f t="shared" si="11"/>
        <v>0.6333333333333333</v>
      </c>
      <c r="K129" s="8">
        <f t="shared" si="12"/>
        <v>0.48838347886361866</v>
      </c>
      <c r="L129" s="29">
        <f t="shared" si="13"/>
        <v>3.0527931086986961E-3</v>
      </c>
      <c r="M129" s="30">
        <f>IF(E129=1,'00-BUDGET'!E$21*L129,'00-BUDGET'!F$21*L129)</f>
        <v>8056.9628233100912</v>
      </c>
      <c r="N129" s="8">
        <f>IF(E129=1,'00-BUDGET'!H$21*L129,'00-BUDGET'!I$21*L129)</f>
        <v>12085.444234965142</v>
      </c>
      <c r="O129" s="8">
        <f>IF(E129=1,'00-BUDGET'!K$21*L129,'00-BUDGET'!L$21*L129)</f>
        <v>16113.925646620191</v>
      </c>
    </row>
    <row r="130" spans="1:15" ht="75" x14ac:dyDescent="0.3">
      <c r="A130" s="5" t="str">
        <f t="shared" ref="A130:A193" si="14">CONCATENATE(D130,E130)</f>
        <v>AIAS-Quartu Sant'Elena10</v>
      </c>
      <c r="B130" s="26" t="s">
        <v>77</v>
      </c>
      <c r="C130" s="26" t="s">
        <v>29</v>
      </c>
      <c r="D130" s="26" t="s">
        <v>100</v>
      </c>
      <c r="E130" s="26">
        <v>10</v>
      </c>
      <c r="F130" s="8">
        <v>0.34343362439390401</v>
      </c>
      <c r="G130" s="27" t="str">
        <f t="shared" ref="G130:G193" si="15">CONCATENATE(B130,E130)</f>
        <v>Cagliari10</v>
      </c>
      <c r="H130" s="28">
        <f t="shared" ref="H130:H193" si="16">COUNTIF(G$2:G$398,G130)</f>
        <v>26</v>
      </c>
      <c r="I130" s="28">
        <f t="shared" ref="I130:I193" si="17">COUNTIF(E$2:E$398,E130)</f>
        <v>65</v>
      </c>
      <c r="J130" s="8">
        <f t="shared" ref="J130:J193" si="18">IF(1-(H130/I130)=0,1,1-(H130/I130))</f>
        <v>0.6</v>
      </c>
      <c r="K130" s="8">
        <f t="shared" ref="K130:K193" si="19">AVERAGE(J130,F130)</f>
        <v>0.471716812196952</v>
      </c>
      <c r="L130" s="29">
        <f t="shared" ref="L130:L193" si="20">K130/IF(E130=1,SUMIF(E$2:E$398,"=1",K$2:K$398),SUMIF(E$2:E$398,"&lt;&gt;1",K$2:K$398))</f>
        <v>2.9486129155779812E-3</v>
      </c>
      <c r="M130" s="30">
        <f>IF(E130=1,'00-BUDGET'!E$21*L130,'00-BUDGET'!F$21*L130)</f>
        <v>7782.0093911540998</v>
      </c>
      <c r="N130" s="8">
        <f>IF(E130=1,'00-BUDGET'!H$21*L130,'00-BUDGET'!I$21*L130)</f>
        <v>11673.014086731153</v>
      </c>
      <c r="O130" s="8">
        <f>IF(E130=1,'00-BUDGET'!K$21*L130,'00-BUDGET'!L$21*L130)</f>
        <v>15564.018782308207</v>
      </c>
    </row>
    <row r="131" spans="1:15" ht="75" x14ac:dyDescent="0.3">
      <c r="A131" s="5" t="str">
        <f t="shared" si="14"/>
        <v>AIAS-Quartu Sant'Elena11</v>
      </c>
      <c r="B131" s="26" t="s">
        <v>77</v>
      </c>
      <c r="C131" s="26" t="s">
        <v>29</v>
      </c>
      <c r="D131" s="26" t="s">
        <v>100</v>
      </c>
      <c r="E131" s="26">
        <v>11</v>
      </c>
      <c r="F131" s="8">
        <v>0.34343362439390401</v>
      </c>
      <c r="G131" s="27" t="str">
        <f t="shared" si="15"/>
        <v>Cagliari11</v>
      </c>
      <c r="H131" s="28">
        <f t="shared" si="16"/>
        <v>19</v>
      </c>
      <c r="I131" s="28">
        <f t="shared" si="17"/>
        <v>56</v>
      </c>
      <c r="J131" s="8">
        <f t="shared" si="18"/>
        <v>0.6607142857142857</v>
      </c>
      <c r="K131" s="8">
        <f t="shared" si="19"/>
        <v>0.50207395505409491</v>
      </c>
      <c r="L131" s="29">
        <f t="shared" si="20"/>
        <v>3.1383696959049979E-3</v>
      </c>
      <c r="M131" s="30">
        <f>IF(E131=1,'00-BUDGET'!E$21*L131,'00-BUDGET'!F$21*L131)</f>
        <v>8282.8174282953714</v>
      </c>
      <c r="N131" s="8">
        <f>IF(E131=1,'00-BUDGET'!H$21*L131,'00-BUDGET'!I$21*L131)</f>
        <v>12424.22614244306</v>
      </c>
      <c r="O131" s="8">
        <f>IF(E131=1,'00-BUDGET'!K$21*L131,'00-BUDGET'!L$21*L131)</f>
        <v>16565.63485659075</v>
      </c>
    </row>
    <row r="132" spans="1:15" ht="75" x14ac:dyDescent="0.3">
      <c r="A132" s="5" t="str">
        <f t="shared" si="14"/>
        <v>AIAS-San Vito8</v>
      </c>
      <c r="B132" s="26" t="s">
        <v>77</v>
      </c>
      <c r="C132" s="26" t="s">
        <v>29</v>
      </c>
      <c r="D132" s="26" t="s">
        <v>101</v>
      </c>
      <c r="E132" s="26">
        <v>8</v>
      </c>
      <c r="F132" s="8">
        <v>0.34343362439390401</v>
      </c>
      <c r="G132" s="27" t="str">
        <f t="shared" si="15"/>
        <v>Cagliari8</v>
      </c>
      <c r="H132" s="28">
        <f t="shared" si="16"/>
        <v>26</v>
      </c>
      <c r="I132" s="28">
        <f t="shared" si="17"/>
        <v>67</v>
      </c>
      <c r="J132" s="8">
        <f t="shared" si="18"/>
        <v>0.61194029850746268</v>
      </c>
      <c r="K132" s="8">
        <f t="shared" si="19"/>
        <v>0.47768696145068335</v>
      </c>
      <c r="L132" s="29">
        <f t="shared" si="20"/>
        <v>2.9859311937107747E-3</v>
      </c>
      <c r="M132" s="30">
        <f>IF(E132=1,'00-BUDGET'!E$21*L132,'00-BUDGET'!F$21*L132)</f>
        <v>7880.5001728219177</v>
      </c>
      <c r="N132" s="8">
        <f>IF(E132=1,'00-BUDGET'!H$21*L132,'00-BUDGET'!I$21*L132)</f>
        <v>11820.75025923288</v>
      </c>
      <c r="O132" s="8">
        <f>IF(E132=1,'00-BUDGET'!K$21*L132,'00-BUDGET'!L$21*L132)</f>
        <v>15761.000345643844</v>
      </c>
    </row>
    <row r="133" spans="1:15" ht="75" x14ac:dyDescent="0.3">
      <c r="A133" s="5" t="str">
        <f t="shared" si="14"/>
        <v>AIAS-San Vito9</v>
      </c>
      <c r="B133" s="26" t="s">
        <v>77</v>
      </c>
      <c r="C133" s="26" t="s">
        <v>29</v>
      </c>
      <c r="D133" s="26" t="s">
        <v>101</v>
      </c>
      <c r="E133" s="26">
        <v>9</v>
      </c>
      <c r="F133" s="8">
        <v>0.34343362439390401</v>
      </c>
      <c r="G133" s="27" t="str">
        <f t="shared" si="15"/>
        <v>Cagliari9</v>
      </c>
      <c r="H133" s="28">
        <f t="shared" si="16"/>
        <v>22</v>
      </c>
      <c r="I133" s="28">
        <f t="shared" si="17"/>
        <v>60</v>
      </c>
      <c r="J133" s="8">
        <f t="shared" si="18"/>
        <v>0.6333333333333333</v>
      </c>
      <c r="K133" s="8">
        <f t="shared" si="19"/>
        <v>0.48838347886361866</v>
      </c>
      <c r="L133" s="29">
        <f t="shared" si="20"/>
        <v>3.0527931086986961E-3</v>
      </c>
      <c r="M133" s="30">
        <f>IF(E133=1,'00-BUDGET'!E$21*L133,'00-BUDGET'!F$21*L133)</f>
        <v>8056.9628233100912</v>
      </c>
      <c r="N133" s="8">
        <f>IF(E133=1,'00-BUDGET'!H$21*L133,'00-BUDGET'!I$21*L133)</f>
        <v>12085.444234965142</v>
      </c>
      <c r="O133" s="8">
        <f>IF(E133=1,'00-BUDGET'!K$21*L133,'00-BUDGET'!L$21*L133)</f>
        <v>16113.925646620191</v>
      </c>
    </row>
    <row r="134" spans="1:15" ht="75" x14ac:dyDescent="0.3">
      <c r="A134" s="5" t="str">
        <f t="shared" si="14"/>
        <v>AIAS-San Vito10</v>
      </c>
      <c r="B134" s="26" t="s">
        <v>77</v>
      </c>
      <c r="C134" s="26" t="s">
        <v>29</v>
      </c>
      <c r="D134" s="26" t="s">
        <v>101</v>
      </c>
      <c r="E134" s="26">
        <v>10</v>
      </c>
      <c r="F134" s="8">
        <v>0.34343362439390401</v>
      </c>
      <c r="G134" s="27" t="str">
        <f t="shared" si="15"/>
        <v>Cagliari10</v>
      </c>
      <c r="H134" s="28">
        <f t="shared" si="16"/>
        <v>26</v>
      </c>
      <c r="I134" s="28">
        <f t="shared" si="17"/>
        <v>65</v>
      </c>
      <c r="J134" s="8">
        <f t="shared" si="18"/>
        <v>0.6</v>
      </c>
      <c r="K134" s="8">
        <f t="shared" si="19"/>
        <v>0.471716812196952</v>
      </c>
      <c r="L134" s="29">
        <f t="shared" si="20"/>
        <v>2.9486129155779812E-3</v>
      </c>
      <c r="M134" s="30">
        <f>IF(E134=1,'00-BUDGET'!E$21*L134,'00-BUDGET'!F$21*L134)</f>
        <v>7782.0093911540998</v>
      </c>
      <c r="N134" s="8">
        <f>IF(E134=1,'00-BUDGET'!H$21*L134,'00-BUDGET'!I$21*L134)</f>
        <v>11673.014086731153</v>
      </c>
      <c r="O134" s="8">
        <f>IF(E134=1,'00-BUDGET'!K$21*L134,'00-BUDGET'!L$21*L134)</f>
        <v>15564.018782308207</v>
      </c>
    </row>
    <row r="135" spans="1:15" ht="75" x14ac:dyDescent="0.3">
      <c r="A135" s="5" t="str">
        <f t="shared" si="14"/>
        <v>AIAS-San Vito11</v>
      </c>
      <c r="B135" s="26" t="s">
        <v>77</v>
      </c>
      <c r="C135" s="26" t="s">
        <v>29</v>
      </c>
      <c r="D135" s="26" t="s">
        <v>101</v>
      </c>
      <c r="E135" s="26">
        <v>11</v>
      </c>
      <c r="F135" s="8">
        <v>0.34343362439390401</v>
      </c>
      <c r="G135" s="27" t="str">
        <f t="shared" si="15"/>
        <v>Cagliari11</v>
      </c>
      <c r="H135" s="28">
        <f t="shared" si="16"/>
        <v>19</v>
      </c>
      <c r="I135" s="28">
        <f t="shared" si="17"/>
        <v>56</v>
      </c>
      <c r="J135" s="8">
        <f t="shared" si="18"/>
        <v>0.6607142857142857</v>
      </c>
      <c r="K135" s="8">
        <f t="shared" si="19"/>
        <v>0.50207395505409491</v>
      </c>
      <c r="L135" s="29">
        <f t="shared" si="20"/>
        <v>3.1383696959049979E-3</v>
      </c>
      <c r="M135" s="30">
        <f>IF(E135=1,'00-BUDGET'!E$21*L135,'00-BUDGET'!F$21*L135)</f>
        <v>8282.8174282953714</v>
      </c>
      <c r="N135" s="8">
        <f>IF(E135=1,'00-BUDGET'!H$21*L135,'00-BUDGET'!I$21*L135)</f>
        <v>12424.22614244306</v>
      </c>
      <c r="O135" s="8">
        <f>IF(E135=1,'00-BUDGET'!K$21*L135,'00-BUDGET'!L$21*L135)</f>
        <v>16565.63485659075</v>
      </c>
    </row>
    <row r="136" spans="1:15" ht="75" x14ac:dyDescent="0.3">
      <c r="A136" s="5" t="str">
        <f t="shared" si="14"/>
        <v>AIAS-Sanluri8</v>
      </c>
      <c r="B136" s="26" t="s">
        <v>102</v>
      </c>
      <c r="C136" s="26" t="s">
        <v>29</v>
      </c>
      <c r="D136" s="26" t="s">
        <v>103</v>
      </c>
      <c r="E136" s="26">
        <v>8</v>
      </c>
      <c r="F136" s="8">
        <v>5.8371702890174099E-2</v>
      </c>
      <c r="G136" s="27" t="str">
        <f t="shared" si="15"/>
        <v>Medio campidano8</v>
      </c>
      <c r="H136" s="28">
        <f t="shared" si="16"/>
        <v>4</v>
      </c>
      <c r="I136" s="28">
        <f t="shared" si="17"/>
        <v>67</v>
      </c>
      <c r="J136" s="8">
        <f t="shared" si="18"/>
        <v>0.94029850746268662</v>
      </c>
      <c r="K136" s="8">
        <f t="shared" si="19"/>
        <v>0.49933510517643037</v>
      </c>
      <c r="L136" s="29">
        <f t="shared" si="20"/>
        <v>3.1212496613539737E-3</v>
      </c>
      <c r="M136" s="30">
        <f>IF(E136=1,'00-BUDGET'!E$21*L136,'00-BUDGET'!F$21*L136)</f>
        <v>8237.6340578539384</v>
      </c>
      <c r="N136" s="8">
        <f>IF(E136=1,'00-BUDGET'!H$21*L136,'00-BUDGET'!I$21*L136)</f>
        <v>12356.451086780911</v>
      </c>
      <c r="O136" s="8">
        <f>IF(E136=1,'00-BUDGET'!K$21*L136,'00-BUDGET'!L$21*L136)</f>
        <v>16475.268115707884</v>
      </c>
    </row>
    <row r="137" spans="1:15" ht="75" x14ac:dyDescent="0.3">
      <c r="A137" s="5" t="str">
        <f t="shared" si="14"/>
        <v>AIAS-Sanluri9</v>
      </c>
      <c r="B137" s="26" t="s">
        <v>102</v>
      </c>
      <c r="C137" s="26" t="s">
        <v>29</v>
      </c>
      <c r="D137" s="26" t="s">
        <v>103</v>
      </c>
      <c r="E137" s="26">
        <v>9</v>
      </c>
      <c r="F137" s="8">
        <v>5.8371702890174099E-2</v>
      </c>
      <c r="G137" s="27" t="str">
        <f t="shared" si="15"/>
        <v>Medio campidano9</v>
      </c>
      <c r="H137" s="28">
        <f t="shared" si="16"/>
        <v>4</v>
      </c>
      <c r="I137" s="28">
        <f t="shared" si="17"/>
        <v>60</v>
      </c>
      <c r="J137" s="8">
        <f t="shared" si="18"/>
        <v>0.93333333333333335</v>
      </c>
      <c r="K137" s="8">
        <f t="shared" si="19"/>
        <v>0.49585251811175374</v>
      </c>
      <c r="L137" s="29">
        <f t="shared" si="20"/>
        <v>3.0994806657765107E-3</v>
      </c>
      <c r="M137" s="30">
        <f>IF(E137=1,'00-BUDGET'!E$21*L137,'00-BUDGET'!F$21*L137)</f>
        <v>8180.181101881044</v>
      </c>
      <c r="N137" s="8">
        <f>IF(E137=1,'00-BUDGET'!H$21*L137,'00-BUDGET'!I$21*L137)</f>
        <v>12270.27165282157</v>
      </c>
      <c r="O137" s="8">
        <f>IF(E137=1,'00-BUDGET'!K$21*L137,'00-BUDGET'!L$21*L137)</f>
        <v>16360.362203762095</v>
      </c>
    </row>
    <row r="138" spans="1:15" ht="75" x14ac:dyDescent="0.3">
      <c r="A138" s="5" t="str">
        <f t="shared" si="14"/>
        <v>AIAS-Sanluri10</v>
      </c>
      <c r="B138" s="26" t="s">
        <v>102</v>
      </c>
      <c r="C138" s="26" t="s">
        <v>29</v>
      </c>
      <c r="D138" s="26" t="s">
        <v>103</v>
      </c>
      <c r="E138" s="26">
        <v>10</v>
      </c>
      <c r="F138" s="8">
        <v>5.8371702890174099E-2</v>
      </c>
      <c r="G138" s="27" t="str">
        <f t="shared" si="15"/>
        <v>Medio campidano10</v>
      </c>
      <c r="H138" s="28">
        <f t="shared" si="16"/>
        <v>4</v>
      </c>
      <c r="I138" s="28">
        <f t="shared" si="17"/>
        <v>65</v>
      </c>
      <c r="J138" s="8">
        <f t="shared" si="18"/>
        <v>0.93846153846153846</v>
      </c>
      <c r="K138" s="8">
        <f t="shared" si="19"/>
        <v>0.49841662067585629</v>
      </c>
      <c r="L138" s="29">
        <f t="shared" si="20"/>
        <v>3.115508387795082E-3</v>
      </c>
      <c r="M138" s="30">
        <f>IF(E138=1,'00-BUDGET'!E$21*L138,'00-BUDGET'!F$21*L138)</f>
        <v>8222.4816299050417</v>
      </c>
      <c r="N138" s="8">
        <f>IF(E138=1,'00-BUDGET'!H$21*L138,'00-BUDGET'!I$21*L138)</f>
        <v>12333.722444857567</v>
      </c>
      <c r="O138" s="8">
        <f>IF(E138=1,'00-BUDGET'!K$21*L138,'00-BUDGET'!L$21*L138)</f>
        <v>16444.963259810091</v>
      </c>
    </row>
    <row r="139" spans="1:15" ht="75" x14ac:dyDescent="0.3">
      <c r="A139" s="5" t="str">
        <f t="shared" si="14"/>
        <v>AIAS-Sanluri11</v>
      </c>
      <c r="B139" s="26" t="s">
        <v>102</v>
      </c>
      <c r="C139" s="26" t="s">
        <v>29</v>
      </c>
      <c r="D139" s="26" t="s">
        <v>103</v>
      </c>
      <c r="E139" s="26">
        <v>11</v>
      </c>
      <c r="F139" s="8">
        <v>5.8371702890174099E-2</v>
      </c>
      <c r="G139" s="27" t="str">
        <f t="shared" si="15"/>
        <v>Medio campidano11</v>
      </c>
      <c r="H139" s="28">
        <f t="shared" si="16"/>
        <v>4</v>
      </c>
      <c r="I139" s="28">
        <f t="shared" si="17"/>
        <v>56</v>
      </c>
      <c r="J139" s="8">
        <f t="shared" si="18"/>
        <v>0.9285714285714286</v>
      </c>
      <c r="K139" s="8">
        <f t="shared" si="19"/>
        <v>0.49347156573080136</v>
      </c>
      <c r="L139" s="29">
        <f t="shared" si="20"/>
        <v>3.0845977810449801E-3</v>
      </c>
      <c r="M139" s="30">
        <f>IF(E139=1,'00-BUDGET'!E$21*L139,'00-BUDGET'!F$21*L139)</f>
        <v>8140.9020401444741</v>
      </c>
      <c r="N139" s="8">
        <f>IF(E139=1,'00-BUDGET'!H$21*L139,'00-BUDGET'!I$21*L139)</f>
        <v>12211.353060216716</v>
      </c>
      <c r="O139" s="8">
        <f>IF(E139=1,'00-BUDGET'!K$21*L139,'00-BUDGET'!L$21*L139)</f>
        <v>16281.804080288955</v>
      </c>
    </row>
    <row r="140" spans="1:15" ht="75" x14ac:dyDescent="0.3">
      <c r="A140" s="5" t="str">
        <f t="shared" si="14"/>
        <v>AIAS-Sant'Antioco7</v>
      </c>
      <c r="B140" s="26" t="s">
        <v>86</v>
      </c>
      <c r="C140" s="26" t="s">
        <v>29</v>
      </c>
      <c r="D140" s="26" t="s">
        <v>104</v>
      </c>
      <c r="E140" s="26">
        <v>7</v>
      </c>
      <c r="F140" s="8">
        <v>7.5018914422396707E-2</v>
      </c>
      <c r="G140" s="27" t="str">
        <f t="shared" si="15"/>
        <v>Sulcis7</v>
      </c>
      <c r="H140" s="28">
        <f t="shared" si="16"/>
        <v>3</v>
      </c>
      <c r="I140" s="28">
        <f t="shared" si="17"/>
        <v>32</v>
      </c>
      <c r="J140" s="8">
        <f t="shared" si="18"/>
        <v>0.90625</v>
      </c>
      <c r="K140" s="8">
        <f t="shared" si="19"/>
        <v>0.49063445721119836</v>
      </c>
      <c r="L140" s="29">
        <f t="shared" si="20"/>
        <v>3.0668635502363803E-3</v>
      </c>
      <c r="M140" s="30">
        <f>IF(E140=1,'00-BUDGET'!E$21*L140,'00-BUDGET'!F$21*L140)</f>
        <v>8094.0976766526437</v>
      </c>
      <c r="N140" s="8">
        <f>IF(E140=1,'00-BUDGET'!H$21*L140,'00-BUDGET'!I$21*L140)</f>
        <v>12141.146514978969</v>
      </c>
      <c r="O140" s="8">
        <f>IF(E140=1,'00-BUDGET'!K$21*L140,'00-BUDGET'!L$21*L140)</f>
        <v>16188.195353305295</v>
      </c>
    </row>
    <row r="141" spans="1:15" ht="75" x14ac:dyDescent="0.3">
      <c r="A141" s="5" t="str">
        <f t="shared" si="14"/>
        <v>AIAS-Sant'Antioco8</v>
      </c>
      <c r="B141" s="26" t="s">
        <v>86</v>
      </c>
      <c r="C141" s="26" t="s">
        <v>29</v>
      </c>
      <c r="D141" s="26" t="s">
        <v>104</v>
      </c>
      <c r="E141" s="26">
        <v>8</v>
      </c>
      <c r="F141" s="8">
        <v>7.5018914422396707E-2</v>
      </c>
      <c r="G141" s="27" t="str">
        <f t="shared" si="15"/>
        <v>Sulcis8</v>
      </c>
      <c r="H141" s="28">
        <f t="shared" si="16"/>
        <v>8</v>
      </c>
      <c r="I141" s="28">
        <f t="shared" si="17"/>
        <v>67</v>
      </c>
      <c r="J141" s="8">
        <f t="shared" si="18"/>
        <v>0.88059701492537312</v>
      </c>
      <c r="K141" s="8">
        <f t="shared" si="19"/>
        <v>0.47780796467388492</v>
      </c>
      <c r="L141" s="29">
        <f t="shared" si="20"/>
        <v>2.9866875620604568E-3</v>
      </c>
      <c r="M141" s="30">
        <f>IF(E141=1,'00-BUDGET'!E$21*L141,'00-BUDGET'!F$21*L141)</f>
        <v>7882.4963879131901</v>
      </c>
      <c r="N141" s="8">
        <f>IF(E141=1,'00-BUDGET'!H$21*L141,'00-BUDGET'!I$21*L141)</f>
        <v>11823.744581869789</v>
      </c>
      <c r="O141" s="8">
        <f>IF(E141=1,'00-BUDGET'!K$21*L141,'00-BUDGET'!L$21*L141)</f>
        <v>15764.992775826389</v>
      </c>
    </row>
    <row r="142" spans="1:15" ht="75" x14ac:dyDescent="0.3">
      <c r="A142" s="5" t="str">
        <f t="shared" si="14"/>
        <v>AIAS-Sant'Antioco9</v>
      </c>
      <c r="B142" s="26" t="s">
        <v>86</v>
      </c>
      <c r="C142" s="26" t="s">
        <v>29</v>
      </c>
      <c r="D142" s="26" t="s">
        <v>104</v>
      </c>
      <c r="E142" s="26">
        <v>9</v>
      </c>
      <c r="F142" s="8">
        <v>7.5018914422396707E-2</v>
      </c>
      <c r="G142" s="27" t="str">
        <f t="shared" si="15"/>
        <v>Sulcis9</v>
      </c>
      <c r="H142" s="28">
        <f t="shared" si="16"/>
        <v>7</v>
      </c>
      <c r="I142" s="28">
        <f t="shared" si="17"/>
        <v>60</v>
      </c>
      <c r="J142" s="8">
        <f t="shared" si="18"/>
        <v>0.8833333333333333</v>
      </c>
      <c r="K142" s="8">
        <f t="shared" si="19"/>
        <v>0.47917612387786501</v>
      </c>
      <c r="L142" s="29">
        <f t="shared" si="20"/>
        <v>2.9952396674658888E-3</v>
      </c>
      <c r="M142" s="30">
        <f>IF(E142=1,'00-BUDGET'!E$21*L142,'00-BUDGET'!F$21*L142)</f>
        <v>7905.0671920453988</v>
      </c>
      <c r="N142" s="8">
        <f>IF(E142=1,'00-BUDGET'!H$21*L142,'00-BUDGET'!I$21*L142)</f>
        <v>11857.600788068103</v>
      </c>
      <c r="O142" s="8">
        <f>IF(E142=1,'00-BUDGET'!K$21*L142,'00-BUDGET'!L$21*L142)</f>
        <v>15810.134384090807</v>
      </c>
    </row>
    <row r="143" spans="1:15" ht="75" x14ac:dyDescent="0.3">
      <c r="A143" s="5" t="str">
        <f t="shared" si="14"/>
        <v>AIAS-Sant'Antioco10</v>
      </c>
      <c r="B143" s="26" t="s">
        <v>86</v>
      </c>
      <c r="C143" s="26" t="s">
        <v>29</v>
      </c>
      <c r="D143" s="26" t="s">
        <v>104</v>
      </c>
      <c r="E143" s="26">
        <v>10</v>
      </c>
      <c r="F143" s="8">
        <v>7.5018914422396707E-2</v>
      </c>
      <c r="G143" s="27" t="str">
        <f t="shared" si="15"/>
        <v>Sulcis10</v>
      </c>
      <c r="H143" s="28">
        <f t="shared" si="16"/>
        <v>7</v>
      </c>
      <c r="I143" s="28">
        <f t="shared" si="17"/>
        <v>65</v>
      </c>
      <c r="J143" s="8">
        <f t="shared" si="18"/>
        <v>0.89230769230769225</v>
      </c>
      <c r="K143" s="8">
        <f t="shared" si="19"/>
        <v>0.48366330336504448</v>
      </c>
      <c r="L143" s="29">
        <f t="shared" si="20"/>
        <v>3.0232881809983889E-3</v>
      </c>
      <c r="M143" s="30">
        <f>IF(E143=1,'00-BUDGET'!E$21*L143,'00-BUDGET'!F$21*L143)</f>
        <v>7979.0931160873961</v>
      </c>
      <c r="N143" s="8">
        <f>IF(E143=1,'00-BUDGET'!H$21*L143,'00-BUDGET'!I$21*L143)</f>
        <v>11968.639674131098</v>
      </c>
      <c r="O143" s="8">
        <f>IF(E143=1,'00-BUDGET'!K$21*L143,'00-BUDGET'!L$21*L143)</f>
        <v>15958.186232174801</v>
      </c>
    </row>
    <row r="144" spans="1:15" ht="75" x14ac:dyDescent="0.3">
      <c r="A144" s="5" t="str">
        <f t="shared" si="14"/>
        <v>AIAS-Sant'Antioco11</v>
      </c>
      <c r="B144" s="26" t="s">
        <v>86</v>
      </c>
      <c r="C144" s="26" t="s">
        <v>29</v>
      </c>
      <c r="D144" s="26" t="s">
        <v>104</v>
      </c>
      <c r="E144" s="26">
        <v>11</v>
      </c>
      <c r="F144" s="8">
        <v>7.5018914422396707E-2</v>
      </c>
      <c r="G144" s="27" t="str">
        <f t="shared" si="15"/>
        <v>Sulcis11</v>
      </c>
      <c r="H144" s="28">
        <f t="shared" si="16"/>
        <v>7</v>
      </c>
      <c r="I144" s="28">
        <f t="shared" si="17"/>
        <v>56</v>
      </c>
      <c r="J144" s="8">
        <f t="shared" si="18"/>
        <v>0.875</v>
      </c>
      <c r="K144" s="8">
        <f t="shared" si="19"/>
        <v>0.47500945721119836</v>
      </c>
      <c r="L144" s="29">
        <f t="shared" si="20"/>
        <v>2.9691946191857102E-3</v>
      </c>
      <c r="M144" s="30">
        <f>IF(E144=1,'00-BUDGET'!E$21*L144,'00-BUDGET'!F$21*L144)</f>
        <v>7836.3288340064018</v>
      </c>
      <c r="N144" s="8">
        <f>IF(E144=1,'00-BUDGET'!H$21*L144,'00-BUDGET'!I$21*L144)</f>
        <v>11754.493251009606</v>
      </c>
      <c r="O144" s="8">
        <f>IF(E144=1,'00-BUDGET'!K$21*L144,'00-BUDGET'!L$21*L144)</f>
        <v>15672.657668012811</v>
      </c>
    </row>
    <row r="145" spans="1:15" ht="75" x14ac:dyDescent="0.3">
      <c r="A145" s="5" t="str">
        <f t="shared" si="14"/>
        <v>AIAS-Sassari5</v>
      </c>
      <c r="B145" s="26" t="s">
        <v>81</v>
      </c>
      <c r="C145" s="26" t="s">
        <v>29</v>
      </c>
      <c r="D145" s="26" t="s">
        <v>105</v>
      </c>
      <c r="E145" s="26">
        <v>5</v>
      </c>
      <c r="F145" s="8">
        <v>0.20051177607843701</v>
      </c>
      <c r="G145" s="27" t="str">
        <f t="shared" si="15"/>
        <v>Sassari5</v>
      </c>
      <c r="H145" s="28">
        <f t="shared" si="16"/>
        <v>3</v>
      </c>
      <c r="I145" s="28">
        <f t="shared" si="17"/>
        <v>23</v>
      </c>
      <c r="J145" s="8">
        <f t="shared" si="18"/>
        <v>0.86956521739130432</v>
      </c>
      <c r="K145" s="8">
        <f t="shared" si="19"/>
        <v>0.53503849673487069</v>
      </c>
      <c r="L145" s="29">
        <f t="shared" si="20"/>
        <v>3.3444248350113421E-3</v>
      </c>
      <c r="M145" s="30">
        <f>IF(E145=1,'00-BUDGET'!E$21*L145,'00-BUDGET'!F$21*L145)</f>
        <v>8826.640260770082</v>
      </c>
      <c r="N145" s="8">
        <f>IF(E145=1,'00-BUDGET'!H$21*L145,'00-BUDGET'!I$21*L145)</f>
        <v>13239.960391155128</v>
      </c>
      <c r="O145" s="8">
        <f>IF(E145=1,'00-BUDGET'!K$21*L145,'00-BUDGET'!L$21*L145)</f>
        <v>17653.280521540175</v>
      </c>
    </row>
    <row r="146" spans="1:15" ht="75" x14ac:dyDescent="0.3">
      <c r="A146" s="5" t="str">
        <f t="shared" si="14"/>
        <v>AIAS-Sassari7</v>
      </c>
      <c r="B146" s="26" t="s">
        <v>81</v>
      </c>
      <c r="C146" s="26" t="s">
        <v>29</v>
      </c>
      <c r="D146" s="26" t="s">
        <v>105</v>
      </c>
      <c r="E146" s="26">
        <v>7</v>
      </c>
      <c r="F146" s="8">
        <v>0.20051177607843701</v>
      </c>
      <c r="G146" s="27" t="str">
        <f t="shared" si="15"/>
        <v>Sassari7</v>
      </c>
      <c r="H146" s="28">
        <f t="shared" si="16"/>
        <v>4</v>
      </c>
      <c r="I146" s="28">
        <f t="shared" si="17"/>
        <v>32</v>
      </c>
      <c r="J146" s="8">
        <f t="shared" si="18"/>
        <v>0.875</v>
      </c>
      <c r="K146" s="8">
        <f t="shared" si="19"/>
        <v>0.53775588803921848</v>
      </c>
      <c r="L146" s="29">
        <f t="shared" si="20"/>
        <v>3.3614107360636324E-3</v>
      </c>
      <c r="M146" s="30">
        <f>IF(E146=1,'00-BUDGET'!E$21*L146,'00-BUDGET'!F$21*L146)</f>
        <v>8871.4696247085594</v>
      </c>
      <c r="N146" s="8">
        <f>IF(E146=1,'00-BUDGET'!H$21*L146,'00-BUDGET'!I$21*L146)</f>
        <v>13307.204437062843</v>
      </c>
      <c r="O146" s="8">
        <f>IF(E146=1,'00-BUDGET'!K$21*L146,'00-BUDGET'!L$21*L146)</f>
        <v>17742.939249417126</v>
      </c>
    </row>
    <row r="147" spans="1:15" ht="75" x14ac:dyDescent="0.3">
      <c r="A147" s="5" t="str">
        <f t="shared" si="14"/>
        <v>AIAS-Sassari8</v>
      </c>
      <c r="B147" s="26" t="s">
        <v>81</v>
      </c>
      <c r="C147" s="26" t="s">
        <v>29</v>
      </c>
      <c r="D147" s="26" t="s">
        <v>105</v>
      </c>
      <c r="E147" s="26">
        <v>8</v>
      </c>
      <c r="F147" s="8">
        <v>0.20051177607843701</v>
      </c>
      <c r="G147" s="27" t="str">
        <f t="shared" si="15"/>
        <v>Sassari8</v>
      </c>
      <c r="H147" s="28">
        <f t="shared" si="16"/>
        <v>6</v>
      </c>
      <c r="I147" s="28">
        <f t="shared" si="17"/>
        <v>67</v>
      </c>
      <c r="J147" s="8">
        <f t="shared" si="18"/>
        <v>0.91044776119402981</v>
      </c>
      <c r="K147" s="8">
        <f t="shared" si="19"/>
        <v>0.55547976863623338</v>
      </c>
      <c r="L147" s="29">
        <f t="shared" si="20"/>
        <v>3.4721993742703621E-3</v>
      </c>
      <c r="M147" s="30">
        <f>IF(E147=1,'00-BUDGET'!E$21*L147,'00-BUDGET'!F$21*L147)</f>
        <v>9163.8641327848909</v>
      </c>
      <c r="N147" s="8">
        <f>IF(E147=1,'00-BUDGET'!H$21*L147,'00-BUDGET'!I$21*L147)</f>
        <v>13745.796199177341</v>
      </c>
      <c r="O147" s="8">
        <f>IF(E147=1,'00-BUDGET'!K$21*L147,'00-BUDGET'!L$21*L147)</f>
        <v>18327.728265569793</v>
      </c>
    </row>
    <row r="148" spans="1:15" ht="75" x14ac:dyDescent="0.3">
      <c r="A148" s="5" t="str">
        <f t="shared" si="14"/>
        <v>AIAS-Sassari9</v>
      </c>
      <c r="B148" s="26" t="s">
        <v>81</v>
      </c>
      <c r="C148" s="26" t="s">
        <v>29</v>
      </c>
      <c r="D148" s="26" t="s">
        <v>105</v>
      </c>
      <c r="E148" s="26">
        <v>9</v>
      </c>
      <c r="F148" s="8">
        <v>0.20051177607843701</v>
      </c>
      <c r="G148" s="27" t="str">
        <f t="shared" si="15"/>
        <v>Sassari9</v>
      </c>
      <c r="H148" s="28">
        <f t="shared" si="16"/>
        <v>6</v>
      </c>
      <c r="I148" s="28">
        <f t="shared" si="17"/>
        <v>60</v>
      </c>
      <c r="J148" s="8">
        <f t="shared" si="18"/>
        <v>0.9</v>
      </c>
      <c r="K148" s="8">
        <f t="shared" si="19"/>
        <v>0.55025588803921854</v>
      </c>
      <c r="L148" s="29">
        <f t="shared" si="20"/>
        <v>3.4395458809041686E-3</v>
      </c>
      <c r="M148" s="30">
        <f>IF(E148=1,'00-BUDGET'!E$21*L148,'00-BUDGET'!F$21*L148)</f>
        <v>9077.6846988255529</v>
      </c>
      <c r="N148" s="8">
        <f>IF(E148=1,'00-BUDGET'!H$21*L148,'00-BUDGET'!I$21*L148)</f>
        <v>13616.527048238333</v>
      </c>
      <c r="O148" s="8">
        <f>IF(E148=1,'00-BUDGET'!K$21*L148,'00-BUDGET'!L$21*L148)</f>
        <v>18155.369397651113</v>
      </c>
    </row>
    <row r="149" spans="1:15" ht="75" x14ac:dyDescent="0.3">
      <c r="A149" s="5" t="str">
        <f t="shared" si="14"/>
        <v>AIAS-Sassari10</v>
      </c>
      <c r="B149" s="26" t="s">
        <v>81</v>
      </c>
      <c r="C149" s="26" t="s">
        <v>29</v>
      </c>
      <c r="D149" s="26" t="s">
        <v>105</v>
      </c>
      <c r="E149" s="26">
        <v>10</v>
      </c>
      <c r="F149" s="8">
        <v>0.20051177607843701</v>
      </c>
      <c r="G149" s="27" t="str">
        <f t="shared" si="15"/>
        <v>Sassari10</v>
      </c>
      <c r="H149" s="28">
        <f t="shared" si="16"/>
        <v>6</v>
      </c>
      <c r="I149" s="28">
        <f t="shared" si="17"/>
        <v>65</v>
      </c>
      <c r="J149" s="8">
        <f t="shared" si="18"/>
        <v>0.90769230769230769</v>
      </c>
      <c r="K149" s="8">
        <f t="shared" si="19"/>
        <v>0.55410204188537238</v>
      </c>
      <c r="L149" s="29">
        <f t="shared" si="20"/>
        <v>3.4635874639320258E-3</v>
      </c>
      <c r="M149" s="30">
        <f>IF(E149=1,'00-BUDGET'!E$21*L149,'00-BUDGET'!F$21*L149)</f>
        <v>9141.1354908615504</v>
      </c>
      <c r="N149" s="8">
        <f>IF(E149=1,'00-BUDGET'!H$21*L149,'00-BUDGET'!I$21*L149)</f>
        <v>13711.703236292331</v>
      </c>
      <c r="O149" s="8">
        <f>IF(E149=1,'00-BUDGET'!K$21*L149,'00-BUDGET'!L$21*L149)</f>
        <v>18282.270981723112</v>
      </c>
    </row>
    <row r="150" spans="1:15" ht="75" x14ac:dyDescent="0.3">
      <c r="A150" s="5" t="str">
        <f t="shared" si="14"/>
        <v>AIAS-Sassari11</v>
      </c>
      <c r="B150" s="26" t="s">
        <v>81</v>
      </c>
      <c r="C150" s="26" t="s">
        <v>29</v>
      </c>
      <c r="D150" s="26" t="s">
        <v>105</v>
      </c>
      <c r="E150" s="26">
        <v>11</v>
      </c>
      <c r="F150" s="8">
        <v>0.20051177607843701</v>
      </c>
      <c r="G150" s="27" t="str">
        <f t="shared" si="15"/>
        <v>Sassari11</v>
      </c>
      <c r="H150" s="28">
        <f t="shared" si="16"/>
        <v>6</v>
      </c>
      <c r="I150" s="28">
        <f t="shared" si="17"/>
        <v>56</v>
      </c>
      <c r="J150" s="8">
        <f t="shared" si="18"/>
        <v>0.8928571428571429</v>
      </c>
      <c r="K150" s="8">
        <f t="shared" si="19"/>
        <v>0.54668445946778998</v>
      </c>
      <c r="L150" s="29">
        <f t="shared" si="20"/>
        <v>3.4172215538068726E-3</v>
      </c>
      <c r="M150" s="30">
        <f>IF(E150=1,'00-BUDGET'!E$21*L150,'00-BUDGET'!F$21*L150)</f>
        <v>9018.7661062206971</v>
      </c>
      <c r="N150" s="8">
        <f>IF(E150=1,'00-BUDGET'!H$21*L150,'00-BUDGET'!I$21*L150)</f>
        <v>13528.149159331051</v>
      </c>
      <c r="O150" s="8">
        <f>IF(E150=1,'00-BUDGET'!K$21*L150,'00-BUDGET'!L$21*L150)</f>
        <v>18037.532212441405</v>
      </c>
    </row>
    <row r="151" spans="1:15" ht="75" x14ac:dyDescent="0.3">
      <c r="A151" s="5" t="str">
        <f t="shared" si="14"/>
        <v>AIAS-Sestu5</v>
      </c>
      <c r="B151" s="26" t="s">
        <v>77</v>
      </c>
      <c r="C151" s="26" t="s">
        <v>29</v>
      </c>
      <c r="D151" s="26" t="s">
        <v>106</v>
      </c>
      <c r="E151" s="26">
        <v>5</v>
      </c>
      <c r="F151" s="8">
        <v>0.34343362439390401</v>
      </c>
      <c r="G151" s="27" t="str">
        <f t="shared" si="15"/>
        <v>Cagliari5</v>
      </c>
      <c r="H151" s="28">
        <f t="shared" si="16"/>
        <v>11</v>
      </c>
      <c r="I151" s="28">
        <f t="shared" si="17"/>
        <v>23</v>
      </c>
      <c r="J151" s="8">
        <f t="shared" si="18"/>
        <v>0.52173913043478259</v>
      </c>
      <c r="K151" s="8">
        <f t="shared" si="19"/>
        <v>0.4325863774143433</v>
      </c>
      <c r="L151" s="29">
        <f t="shared" si="20"/>
        <v>2.7040159404249993E-3</v>
      </c>
      <c r="M151" s="30">
        <f>IF(E151=1,'00-BUDGET'!E$21*L151,'00-BUDGET'!F$21*L151)</f>
        <v>7136.4665504400346</v>
      </c>
      <c r="N151" s="8">
        <f>IF(E151=1,'00-BUDGET'!H$21*L151,'00-BUDGET'!I$21*L151)</f>
        <v>10704.699825660056</v>
      </c>
      <c r="O151" s="8">
        <f>IF(E151=1,'00-BUDGET'!K$21*L151,'00-BUDGET'!L$21*L151)</f>
        <v>14272.933100880076</v>
      </c>
    </row>
    <row r="152" spans="1:15" ht="75" x14ac:dyDescent="0.3">
      <c r="A152" s="5" t="str">
        <f t="shared" si="14"/>
        <v>AIAS-Sestu8</v>
      </c>
      <c r="B152" s="26" t="s">
        <v>77</v>
      </c>
      <c r="C152" s="26" t="s">
        <v>29</v>
      </c>
      <c r="D152" s="26" t="s">
        <v>106</v>
      </c>
      <c r="E152" s="26">
        <v>8</v>
      </c>
      <c r="F152" s="8">
        <v>0.34343362439390401</v>
      </c>
      <c r="G152" s="27" t="str">
        <f t="shared" si="15"/>
        <v>Cagliari8</v>
      </c>
      <c r="H152" s="28">
        <f t="shared" si="16"/>
        <v>26</v>
      </c>
      <c r="I152" s="28">
        <f t="shared" si="17"/>
        <v>67</v>
      </c>
      <c r="J152" s="8">
        <f t="shared" si="18"/>
        <v>0.61194029850746268</v>
      </c>
      <c r="K152" s="8">
        <f t="shared" si="19"/>
        <v>0.47768696145068335</v>
      </c>
      <c r="L152" s="29">
        <f t="shared" si="20"/>
        <v>2.9859311937107747E-3</v>
      </c>
      <c r="M152" s="30">
        <f>IF(E152=1,'00-BUDGET'!E$21*L152,'00-BUDGET'!F$21*L152)</f>
        <v>7880.5001728219177</v>
      </c>
      <c r="N152" s="8">
        <f>IF(E152=1,'00-BUDGET'!H$21*L152,'00-BUDGET'!I$21*L152)</f>
        <v>11820.75025923288</v>
      </c>
      <c r="O152" s="8">
        <f>IF(E152=1,'00-BUDGET'!K$21*L152,'00-BUDGET'!L$21*L152)</f>
        <v>15761.000345643844</v>
      </c>
    </row>
    <row r="153" spans="1:15" ht="75" x14ac:dyDescent="0.3">
      <c r="A153" s="5" t="str">
        <f t="shared" si="14"/>
        <v>AIAS-Sestu9</v>
      </c>
      <c r="B153" s="26" t="s">
        <v>77</v>
      </c>
      <c r="C153" s="26" t="s">
        <v>29</v>
      </c>
      <c r="D153" s="26" t="s">
        <v>106</v>
      </c>
      <c r="E153" s="26">
        <v>9</v>
      </c>
      <c r="F153" s="8">
        <v>0.34343362439390401</v>
      </c>
      <c r="G153" s="27" t="str">
        <f t="shared" si="15"/>
        <v>Cagliari9</v>
      </c>
      <c r="H153" s="28">
        <f t="shared" si="16"/>
        <v>22</v>
      </c>
      <c r="I153" s="28">
        <f t="shared" si="17"/>
        <v>60</v>
      </c>
      <c r="J153" s="8">
        <f t="shared" si="18"/>
        <v>0.6333333333333333</v>
      </c>
      <c r="K153" s="8">
        <f t="shared" si="19"/>
        <v>0.48838347886361866</v>
      </c>
      <c r="L153" s="29">
        <f t="shared" si="20"/>
        <v>3.0527931086986961E-3</v>
      </c>
      <c r="M153" s="30">
        <f>IF(E153=1,'00-BUDGET'!E$21*L153,'00-BUDGET'!F$21*L153)</f>
        <v>8056.9628233100912</v>
      </c>
      <c r="N153" s="8">
        <f>IF(E153=1,'00-BUDGET'!H$21*L153,'00-BUDGET'!I$21*L153)</f>
        <v>12085.444234965142</v>
      </c>
      <c r="O153" s="8">
        <f>IF(E153=1,'00-BUDGET'!K$21*L153,'00-BUDGET'!L$21*L153)</f>
        <v>16113.925646620191</v>
      </c>
    </row>
    <row r="154" spans="1:15" ht="75" x14ac:dyDescent="0.3">
      <c r="A154" s="5" t="str">
        <f t="shared" si="14"/>
        <v>AIAS-Sestu10</v>
      </c>
      <c r="B154" s="26" t="s">
        <v>77</v>
      </c>
      <c r="C154" s="26" t="s">
        <v>29</v>
      </c>
      <c r="D154" s="26" t="s">
        <v>106</v>
      </c>
      <c r="E154" s="26">
        <v>10</v>
      </c>
      <c r="F154" s="8">
        <v>0.34343362439390401</v>
      </c>
      <c r="G154" s="27" t="str">
        <f t="shared" si="15"/>
        <v>Cagliari10</v>
      </c>
      <c r="H154" s="28">
        <f t="shared" si="16"/>
        <v>26</v>
      </c>
      <c r="I154" s="28">
        <f t="shared" si="17"/>
        <v>65</v>
      </c>
      <c r="J154" s="8">
        <f t="shared" si="18"/>
        <v>0.6</v>
      </c>
      <c r="K154" s="8">
        <f t="shared" si="19"/>
        <v>0.471716812196952</v>
      </c>
      <c r="L154" s="29">
        <f t="shared" si="20"/>
        <v>2.9486129155779812E-3</v>
      </c>
      <c r="M154" s="30">
        <f>IF(E154=1,'00-BUDGET'!E$21*L154,'00-BUDGET'!F$21*L154)</f>
        <v>7782.0093911540998</v>
      </c>
      <c r="N154" s="8">
        <f>IF(E154=1,'00-BUDGET'!H$21*L154,'00-BUDGET'!I$21*L154)</f>
        <v>11673.014086731153</v>
      </c>
      <c r="O154" s="8">
        <f>IF(E154=1,'00-BUDGET'!K$21*L154,'00-BUDGET'!L$21*L154)</f>
        <v>15564.018782308207</v>
      </c>
    </row>
    <row r="155" spans="1:15" ht="75" x14ac:dyDescent="0.3">
      <c r="A155" s="5" t="str">
        <f t="shared" si="14"/>
        <v>AIAS-Sestu11</v>
      </c>
      <c r="B155" s="26" t="s">
        <v>77</v>
      </c>
      <c r="C155" s="26" t="s">
        <v>29</v>
      </c>
      <c r="D155" s="26" t="s">
        <v>106</v>
      </c>
      <c r="E155" s="26">
        <v>11</v>
      </c>
      <c r="F155" s="8">
        <v>0.34343362439390401</v>
      </c>
      <c r="G155" s="27" t="str">
        <f t="shared" si="15"/>
        <v>Cagliari11</v>
      </c>
      <c r="H155" s="28">
        <f t="shared" si="16"/>
        <v>19</v>
      </c>
      <c r="I155" s="28">
        <f t="shared" si="17"/>
        <v>56</v>
      </c>
      <c r="J155" s="8">
        <f t="shared" si="18"/>
        <v>0.6607142857142857</v>
      </c>
      <c r="K155" s="8">
        <f t="shared" si="19"/>
        <v>0.50207395505409491</v>
      </c>
      <c r="L155" s="29">
        <f t="shared" si="20"/>
        <v>3.1383696959049979E-3</v>
      </c>
      <c r="M155" s="30">
        <f>IF(E155=1,'00-BUDGET'!E$21*L155,'00-BUDGET'!F$21*L155)</f>
        <v>8282.8174282953714</v>
      </c>
      <c r="N155" s="8">
        <f>IF(E155=1,'00-BUDGET'!H$21*L155,'00-BUDGET'!I$21*L155)</f>
        <v>12424.22614244306</v>
      </c>
      <c r="O155" s="8">
        <f>IF(E155=1,'00-BUDGET'!K$21*L155,'00-BUDGET'!L$21*L155)</f>
        <v>16565.63485659075</v>
      </c>
    </row>
    <row r="156" spans="1:15" ht="75" x14ac:dyDescent="0.3">
      <c r="A156" s="5" t="str">
        <f t="shared" si="14"/>
        <v>AIAS-Siniscola5</v>
      </c>
      <c r="B156" s="26" t="s">
        <v>73</v>
      </c>
      <c r="C156" s="26" t="s">
        <v>29</v>
      </c>
      <c r="D156" s="26" t="s">
        <v>107</v>
      </c>
      <c r="E156" s="26">
        <v>5</v>
      </c>
      <c r="F156" s="8">
        <v>9.2430262319887796E-2</v>
      </c>
      <c r="G156" s="27" t="str">
        <f t="shared" si="15"/>
        <v>Nuoro5</v>
      </c>
      <c r="H156" s="28">
        <f t="shared" si="16"/>
        <v>3</v>
      </c>
      <c r="I156" s="28">
        <f t="shared" si="17"/>
        <v>23</v>
      </c>
      <c r="J156" s="8">
        <f t="shared" si="18"/>
        <v>0.86956521739130432</v>
      </c>
      <c r="K156" s="8">
        <f t="shared" si="19"/>
        <v>0.48099773985559607</v>
      </c>
      <c r="L156" s="29">
        <f t="shared" si="20"/>
        <v>3.006626245726997E-3</v>
      </c>
      <c r="M156" s="30">
        <f>IF(E156=1,'00-BUDGET'!E$21*L156,'00-BUDGET'!F$21*L156)</f>
        <v>7935.1187659542402</v>
      </c>
      <c r="N156" s="8">
        <f>IF(E156=1,'00-BUDGET'!H$21*L156,'00-BUDGET'!I$21*L156)</f>
        <v>11902.678148931365</v>
      </c>
      <c r="O156" s="8">
        <f>IF(E156=1,'00-BUDGET'!K$21*L156,'00-BUDGET'!L$21*L156)</f>
        <v>15870.237531908489</v>
      </c>
    </row>
    <row r="157" spans="1:15" ht="75" x14ac:dyDescent="0.3">
      <c r="A157" s="5" t="str">
        <f t="shared" si="14"/>
        <v>AIAS-Siniscola8</v>
      </c>
      <c r="B157" s="26" t="s">
        <v>73</v>
      </c>
      <c r="C157" s="26" t="s">
        <v>29</v>
      </c>
      <c r="D157" s="26" t="s">
        <v>107</v>
      </c>
      <c r="E157" s="26">
        <v>8</v>
      </c>
      <c r="F157" s="8">
        <v>9.2430262319887796E-2</v>
      </c>
      <c r="G157" s="27" t="str">
        <f t="shared" si="15"/>
        <v>Nuoro8</v>
      </c>
      <c r="H157" s="28">
        <f t="shared" si="16"/>
        <v>4</v>
      </c>
      <c r="I157" s="28">
        <f t="shared" si="17"/>
        <v>67</v>
      </c>
      <c r="J157" s="8">
        <f t="shared" si="18"/>
        <v>0.94029850746268662</v>
      </c>
      <c r="K157" s="8">
        <f t="shared" si="19"/>
        <v>0.51636438489128722</v>
      </c>
      <c r="L157" s="29">
        <f t="shared" si="20"/>
        <v>3.227696480318001E-3</v>
      </c>
      <c r="M157" s="30">
        <f>IF(E157=1,'00-BUDGET'!E$21*L157,'00-BUDGET'!F$21*L157)</f>
        <v>8518.5695921385959</v>
      </c>
      <c r="N157" s="8">
        <f>IF(E157=1,'00-BUDGET'!H$21*L157,'00-BUDGET'!I$21*L157)</f>
        <v>12777.854388207898</v>
      </c>
      <c r="O157" s="8">
        <f>IF(E157=1,'00-BUDGET'!K$21*L157,'00-BUDGET'!L$21*L157)</f>
        <v>17037.139184277199</v>
      </c>
    </row>
    <row r="158" spans="1:15" ht="75" x14ac:dyDescent="0.3">
      <c r="A158" s="5" t="str">
        <f t="shared" si="14"/>
        <v>AIAS-Siniscola9</v>
      </c>
      <c r="B158" s="26" t="s">
        <v>73</v>
      </c>
      <c r="C158" s="26" t="s">
        <v>29</v>
      </c>
      <c r="D158" s="26" t="s">
        <v>107</v>
      </c>
      <c r="E158" s="26">
        <v>9</v>
      </c>
      <c r="F158" s="8">
        <v>9.2430262319887796E-2</v>
      </c>
      <c r="G158" s="27" t="str">
        <f t="shared" si="15"/>
        <v>Nuoro9</v>
      </c>
      <c r="H158" s="28">
        <f t="shared" si="16"/>
        <v>4</v>
      </c>
      <c r="I158" s="28">
        <f t="shared" si="17"/>
        <v>60</v>
      </c>
      <c r="J158" s="8">
        <f t="shared" si="18"/>
        <v>0.93333333333333335</v>
      </c>
      <c r="K158" s="8">
        <f t="shared" si="19"/>
        <v>0.51288179782661059</v>
      </c>
      <c r="L158" s="29">
        <f t="shared" si="20"/>
        <v>3.205927484740538E-3</v>
      </c>
      <c r="M158" s="30">
        <f>IF(E158=1,'00-BUDGET'!E$21*L158,'00-BUDGET'!F$21*L158)</f>
        <v>8461.1166361657015</v>
      </c>
      <c r="N158" s="8">
        <f>IF(E158=1,'00-BUDGET'!H$21*L158,'00-BUDGET'!I$21*L158)</f>
        <v>12691.674954248556</v>
      </c>
      <c r="O158" s="8">
        <f>IF(E158=1,'00-BUDGET'!K$21*L158,'00-BUDGET'!L$21*L158)</f>
        <v>16922.23327233141</v>
      </c>
    </row>
    <row r="159" spans="1:15" ht="75" x14ac:dyDescent="0.3">
      <c r="A159" s="5" t="str">
        <f t="shared" si="14"/>
        <v>AIAS-Siniscola10</v>
      </c>
      <c r="B159" s="26" t="s">
        <v>73</v>
      </c>
      <c r="C159" s="26" t="s">
        <v>29</v>
      </c>
      <c r="D159" s="26" t="s">
        <v>107</v>
      </c>
      <c r="E159" s="26">
        <v>10</v>
      </c>
      <c r="F159" s="8">
        <v>9.2430262319887796E-2</v>
      </c>
      <c r="G159" s="27" t="str">
        <f t="shared" si="15"/>
        <v>Nuoro10</v>
      </c>
      <c r="H159" s="28">
        <f t="shared" si="16"/>
        <v>4</v>
      </c>
      <c r="I159" s="28">
        <f t="shared" si="17"/>
        <v>65</v>
      </c>
      <c r="J159" s="8">
        <f t="shared" si="18"/>
        <v>0.93846153846153846</v>
      </c>
      <c r="K159" s="8">
        <f t="shared" si="19"/>
        <v>0.51544590039071314</v>
      </c>
      <c r="L159" s="29">
        <f t="shared" si="20"/>
        <v>3.2219552067591093E-3</v>
      </c>
      <c r="M159" s="30">
        <f>IF(E159=1,'00-BUDGET'!E$21*L159,'00-BUDGET'!F$21*L159)</f>
        <v>8503.4171641896992</v>
      </c>
      <c r="N159" s="8">
        <f>IF(E159=1,'00-BUDGET'!H$21*L159,'00-BUDGET'!I$21*L159)</f>
        <v>12755.125746284553</v>
      </c>
      <c r="O159" s="8">
        <f>IF(E159=1,'00-BUDGET'!K$21*L159,'00-BUDGET'!L$21*L159)</f>
        <v>17006.834328379406</v>
      </c>
    </row>
    <row r="160" spans="1:15" ht="75" x14ac:dyDescent="0.3">
      <c r="A160" s="5" t="str">
        <f t="shared" si="14"/>
        <v>AIAS-Siniscola11</v>
      </c>
      <c r="B160" s="26" t="s">
        <v>73</v>
      </c>
      <c r="C160" s="26" t="s">
        <v>29</v>
      </c>
      <c r="D160" s="26" t="s">
        <v>107</v>
      </c>
      <c r="E160" s="26">
        <v>11</v>
      </c>
      <c r="F160" s="8">
        <v>9.2430262319887796E-2</v>
      </c>
      <c r="G160" s="27" t="str">
        <f t="shared" si="15"/>
        <v>Nuoro11</v>
      </c>
      <c r="H160" s="28">
        <f t="shared" si="16"/>
        <v>4</v>
      </c>
      <c r="I160" s="28">
        <f t="shared" si="17"/>
        <v>56</v>
      </c>
      <c r="J160" s="8">
        <f t="shared" si="18"/>
        <v>0.9285714285714286</v>
      </c>
      <c r="K160" s="8">
        <f t="shared" si="19"/>
        <v>0.51050084544565821</v>
      </c>
      <c r="L160" s="29">
        <f t="shared" si="20"/>
        <v>3.1910446000090074E-3</v>
      </c>
      <c r="M160" s="30">
        <f>IF(E160=1,'00-BUDGET'!E$21*L160,'00-BUDGET'!F$21*L160)</f>
        <v>8421.8375744291316</v>
      </c>
      <c r="N160" s="8">
        <f>IF(E160=1,'00-BUDGET'!H$21*L160,'00-BUDGET'!I$21*L160)</f>
        <v>12632.7563616437</v>
      </c>
      <c r="O160" s="8">
        <f>IF(E160=1,'00-BUDGET'!K$21*L160,'00-BUDGET'!L$21*L160)</f>
        <v>16843.67514885827</v>
      </c>
    </row>
    <row r="161" spans="1:15" ht="75" x14ac:dyDescent="0.3">
      <c r="A161" s="5" t="str">
        <f t="shared" si="14"/>
        <v>AIAS-Tempio Pausania7</v>
      </c>
      <c r="B161" s="26" t="s">
        <v>79</v>
      </c>
      <c r="C161" s="26" t="s">
        <v>29</v>
      </c>
      <c r="D161" s="26" t="s">
        <v>108</v>
      </c>
      <c r="E161" s="26">
        <v>7</v>
      </c>
      <c r="F161" s="8">
        <v>9.9672234005895102E-2</v>
      </c>
      <c r="G161" s="27" t="str">
        <f t="shared" si="15"/>
        <v>Gallura7</v>
      </c>
      <c r="H161" s="28">
        <f t="shared" si="16"/>
        <v>5</v>
      </c>
      <c r="I161" s="28">
        <f t="shared" si="17"/>
        <v>32</v>
      </c>
      <c r="J161" s="8">
        <f t="shared" si="18"/>
        <v>0.84375</v>
      </c>
      <c r="K161" s="8">
        <f t="shared" si="19"/>
        <v>0.47171111700294754</v>
      </c>
      <c r="L161" s="29">
        <f t="shared" si="20"/>
        <v>2.948577315993307E-3</v>
      </c>
      <c r="M161" s="30">
        <f>IF(E161=1,'00-BUDGET'!E$21*L161,'00-BUDGET'!F$21*L161)</f>
        <v>7781.9154363658017</v>
      </c>
      <c r="N161" s="8">
        <f>IF(E161=1,'00-BUDGET'!H$21*L161,'00-BUDGET'!I$21*L161)</f>
        <v>11672.873154548706</v>
      </c>
      <c r="O161" s="8">
        <f>IF(E161=1,'00-BUDGET'!K$21*L161,'00-BUDGET'!L$21*L161)</f>
        <v>15563.830872731611</v>
      </c>
    </row>
    <row r="162" spans="1:15" ht="75" x14ac:dyDescent="0.3">
      <c r="A162" s="5" t="str">
        <f t="shared" si="14"/>
        <v>AIAS-Tempio Pausania8</v>
      </c>
      <c r="B162" s="26" t="s">
        <v>79</v>
      </c>
      <c r="C162" s="26" t="s">
        <v>29</v>
      </c>
      <c r="D162" s="26" t="s">
        <v>108</v>
      </c>
      <c r="E162" s="26">
        <v>8</v>
      </c>
      <c r="F162" s="8">
        <v>9.9672234005895102E-2</v>
      </c>
      <c r="G162" s="27" t="str">
        <f t="shared" si="15"/>
        <v>Gallura8</v>
      </c>
      <c r="H162" s="28">
        <f t="shared" si="16"/>
        <v>9</v>
      </c>
      <c r="I162" s="28">
        <f t="shared" si="17"/>
        <v>67</v>
      </c>
      <c r="J162" s="8">
        <f t="shared" si="18"/>
        <v>0.86567164179104483</v>
      </c>
      <c r="K162" s="8">
        <f t="shared" si="19"/>
        <v>0.48267193789846996</v>
      </c>
      <c r="L162" s="29">
        <f t="shared" si="20"/>
        <v>3.0170913422527322E-3</v>
      </c>
      <c r="M162" s="30">
        <f>IF(E162=1,'00-BUDGET'!E$21*L162,'00-BUDGET'!F$21*L162)</f>
        <v>7962.7383558340607</v>
      </c>
      <c r="N162" s="8">
        <f>IF(E162=1,'00-BUDGET'!H$21*L162,'00-BUDGET'!I$21*L162)</f>
        <v>11944.107533751096</v>
      </c>
      <c r="O162" s="8">
        <f>IF(E162=1,'00-BUDGET'!K$21*L162,'00-BUDGET'!L$21*L162)</f>
        <v>15925.476711668129</v>
      </c>
    </row>
    <row r="163" spans="1:15" ht="75" x14ac:dyDescent="0.3">
      <c r="A163" s="5" t="str">
        <f t="shared" si="14"/>
        <v>AIAS-Tempio Pausania9</v>
      </c>
      <c r="B163" s="26" t="s">
        <v>79</v>
      </c>
      <c r="C163" s="26" t="s">
        <v>29</v>
      </c>
      <c r="D163" s="26" t="s">
        <v>108</v>
      </c>
      <c r="E163" s="26">
        <v>9</v>
      </c>
      <c r="F163" s="8">
        <v>9.9672234005895102E-2</v>
      </c>
      <c r="G163" s="27" t="str">
        <f t="shared" si="15"/>
        <v>Gallura9</v>
      </c>
      <c r="H163" s="28">
        <f t="shared" si="16"/>
        <v>8</v>
      </c>
      <c r="I163" s="28">
        <f t="shared" si="17"/>
        <v>60</v>
      </c>
      <c r="J163" s="8">
        <f t="shared" si="18"/>
        <v>0.8666666666666667</v>
      </c>
      <c r="K163" s="8">
        <f t="shared" si="19"/>
        <v>0.48316945033628089</v>
      </c>
      <c r="L163" s="29">
        <f t="shared" si="20"/>
        <v>3.0202011987637981E-3</v>
      </c>
      <c r="M163" s="30">
        <f>IF(E163=1,'00-BUDGET'!E$21*L163,'00-BUDGET'!F$21*L163)</f>
        <v>7970.9459209730448</v>
      </c>
      <c r="N163" s="8">
        <f>IF(E163=1,'00-BUDGET'!H$21*L163,'00-BUDGET'!I$21*L163)</f>
        <v>11956.418881459571</v>
      </c>
      <c r="O163" s="8">
        <f>IF(E163=1,'00-BUDGET'!K$21*L163,'00-BUDGET'!L$21*L163)</f>
        <v>15941.891841946099</v>
      </c>
    </row>
    <row r="164" spans="1:15" ht="75" x14ac:dyDescent="0.3">
      <c r="A164" s="5" t="str">
        <f t="shared" si="14"/>
        <v>AIAS-Tempio Pausania10</v>
      </c>
      <c r="B164" s="26" t="s">
        <v>79</v>
      </c>
      <c r="C164" s="26" t="s">
        <v>29</v>
      </c>
      <c r="D164" s="26" t="s">
        <v>108</v>
      </c>
      <c r="E164" s="26">
        <v>10</v>
      </c>
      <c r="F164" s="8">
        <v>9.9672234005895102E-2</v>
      </c>
      <c r="G164" s="27" t="str">
        <f t="shared" si="15"/>
        <v>Gallura10</v>
      </c>
      <c r="H164" s="28">
        <f t="shared" si="16"/>
        <v>9</v>
      </c>
      <c r="I164" s="28">
        <f t="shared" si="17"/>
        <v>65</v>
      </c>
      <c r="J164" s="8">
        <f t="shared" si="18"/>
        <v>0.86153846153846159</v>
      </c>
      <c r="K164" s="8">
        <f t="shared" si="19"/>
        <v>0.48060534777217834</v>
      </c>
      <c r="L164" s="29">
        <f t="shared" si="20"/>
        <v>3.0041734767452268E-3</v>
      </c>
      <c r="M164" s="30">
        <f>IF(E164=1,'00-BUDGET'!E$21*L164,'00-BUDGET'!F$21*L164)</f>
        <v>7928.6453929490472</v>
      </c>
      <c r="N164" s="8">
        <f>IF(E164=1,'00-BUDGET'!H$21*L164,'00-BUDGET'!I$21*L164)</f>
        <v>11892.968089423573</v>
      </c>
      <c r="O164" s="8">
        <f>IF(E164=1,'00-BUDGET'!K$21*L164,'00-BUDGET'!L$21*L164)</f>
        <v>15857.290785898102</v>
      </c>
    </row>
    <row r="165" spans="1:15" ht="75" x14ac:dyDescent="0.3">
      <c r="A165" s="5" t="str">
        <f t="shared" si="14"/>
        <v>AIAS-Tempio Pausania11</v>
      </c>
      <c r="B165" s="26" t="s">
        <v>79</v>
      </c>
      <c r="C165" s="26" t="s">
        <v>29</v>
      </c>
      <c r="D165" s="26" t="s">
        <v>108</v>
      </c>
      <c r="E165" s="26">
        <v>11</v>
      </c>
      <c r="F165" s="8">
        <v>9.9672234005895102E-2</v>
      </c>
      <c r="G165" s="27" t="str">
        <f t="shared" si="15"/>
        <v>Gallura11</v>
      </c>
      <c r="H165" s="28">
        <f t="shared" si="16"/>
        <v>8</v>
      </c>
      <c r="I165" s="28">
        <f t="shared" si="17"/>
        <v>56</v>
      </c>
      <c r="J165" s="8">
        <f t="shared" si="18"/>
        <v>0.85714285714285721</v>
      </c>
      <c r="K165" s="8">
        <f t="shared" si="19"/>
        <v>0.47840754557437615</v>
      </c>
      <c r="L165" s="29">
        <f t="shared" si="20"/>
        <v>2.9904354293007369E-3</v>
      </c>
      <c r="M165" s="30">
        <f>IF(E165=1,'00-BUDGET'!E$21*L165,'00-BUDGET'!F$21*L165)</f>
        <v>7892.387797499905</v>
      </c>
      <c r="N165" s="8">
        <f>IF(E165=1,'00-BUDGET'!H$21*L165,'00-BUDGET'!I$21*L165)</f>
        <v>11838.581696249861</v>
      </c>
      <c r="O165" s="8">
        <f>IF(E165=1,'00-BUDGET'!K$21*L165,'00-BUDGET'!L$21*L165)</f>
        <v>15784.775594999819</v>
      </c>
    </row>
    <row r="166" spans="1:15" ht="75" x14ac:dyDescent="0.3">
      <c r="A166" s="5" t="str">
        <f t="shared" si="14"/>
        <v>AIAS-Uta8</v>
      </c>
      <c r="B166" s="26" t="s">
        <v>77</v>
      </c>
      <c r="C166" s="26" t="s">
        <v>29</v>
      </c>
      <c r="D166" s="26" t="s">
        <v>109</v>
      </c>
      <c r="E166" s="26">
        <v>8</v>
      </c>
      <c r="F166" s="8">
        <v>0.34343362439390401</v>
      </c>
      <c r="G166" s="27" t="str">
        <f t="shared" si="15"/>
        <v>Cagliari8</v>
      </c>
      <c r="H166" s="28">
        <f t="shared" si="16"/>
        <v>26</v>
      </c>
      <c r="I166" s="28">
        <f t="shared" si="17"/>
        <v>67</v>
      </c>
      <c r="J166" s="8">
        <f t="shared" si="18"/>
        <v>0.61194029850746268</v>
      </c>
      <c r="K166" s="8">
        <f t="shared" si="19"/>
        <v>0.47768696145068335</v>
      </c>
      <c r="L166" s="29">
        <f t="shared" si="20"/>
        <v>2.9859311937107747E-3</v>
      </c>
      <c r="M166" s="30">
        <f>IF(E166=1,'00-BUDGET'!E$21*L166,'00-BUDGET'!F$21*L166)</f>
        <v>7880.5001728219177</v>
      </c>
      <c r="N166" s="8">
        <f>IF(E166=1,'00-BUDGET'!H$21*L166,'00-BUDGET'!I$21*L166)</f>
        <v>11820.75025923288</v>
      </c>
      <c r="O166" s="8">
        <f>IF(E166=1,'00-BUDGET'!K$21*L166,'00-BUDGET'!L$21*L166)</f>
        <v>15761.000345643844</v>
      </c>
    </row>
    <row r="167" spans="1:15" ht="75" x14ac:dyDescent="0.3">
      <c r="A167" s="5" t="str">
        <f t="shared" si="14"/>
        <v>AIAS-Uta9</v>
      </c>
      <c r="B167" s="26" t="s">
        <v>77</v>
      </c>
      <c r="C167" s="26" t="s">
        <v>29</v>
      </c>
      <c r="D167" s="26" t="s">
        <v>109</v>
      </c>
      <c r="E167" s="26">
        <v>9</v>
      </c>
      <c r="F167" s="8">
        <v>0.34343362439390401</v>
      </c>
      <c r="G167" s="27" t="str">
        <f t="shared" si="15"/>
        <v>Cagliari9</v>
      </c>
      <c r="H167" s="28">
        <f t="shared" si="16"/>
        <v>22</v>
      </c>
      <c r="I167" s="28">
        <f t="shared" si="17"/>
        <v>60</v>
      </c>
      <c r="J167" s="8">
        <f t="shared" si="18"/>
        <v>0.6333333333333333</v>
      </c>
      <c r="K167" s="8">
        <f t="shared" si="19"/>
        <v>0.48838347886361866</v>
      </c>
      <c r="L167" s="29">
        <f t="shared" si="20"/>
        <v>3.0527931086986961E-3</v>
      </c>
      <c r="M167" s="30">
        <f>IF(E167=1,'00-BUDGET'!E$21*L167,'00-BUDGET'!F$21*L167)</f>
        <v>8056.9628233100912</v>
      </c>
      <c r="N167" s="8">
        <f>IF(E167=1,'00-BUDGET'!H$21*L167,'00-BUDGET'!I$21*L167)</f>
        <v>12085.444234965142</v>
      </c>
      <c r="O167" s="8">
        <f>IF(E167=1,'00-BUDGET'!K$21*L167,'00-BUDGET'!L$21*L167)</f>
        <v>16113.925646620191</v>
      </c>
    </row>
    <row r="168" spans="1:15" ht="75" x14ac:dyDescent="0.3">
      <c r="A168" s="5" t="str">
        <f t="shared" si="14"/>
        <v>AIAS-Uta10</v>
      </c>
      <c r="B168" s="26" t="s">
        <v>77</v>
      </c>
      <c r="C168" s="26" t="s">
        <v>29</v>
      </c>
      <c r="D168" s="26" t="s">
        <v>109</v>
      </c>
      <c r="E168" s="26">
        <v>10</v>
      </c>
      <c r="F168" s="8">
        <v>0.34343362439390401</v>
      </c>
      <c r="G168" s="27" t="str">
        <f t="shared" si="15"/>
        <v>Cagliari10</v>
      </c>
      <c r="H168" s="28">
        <f t="shared" si="16"/>
        <v>26</v>
      </c>
      <c r="I168" s="28">
        <f t="shared" si="17"/>
        <v>65</v>
      </c>
      <c r="J168" s="8">
        <f t="shared" si="18"/>
        <v>0.6</v>
      </c>
      <c r="K168" s="8">
        <f t="shared" si="19"/>
        <v>0.471716812196952</v>
      </c>
      <c r="L168" s="29">
        <f t="shared" si="20"/>
        <v>2.9486129155779812E-3</v>
      </c>
      <c r="M168" s="30">
        <f>IF(E168=1,'00-BUDGET'!E$21*L168,'00-BUDGET'!F$21*L168)</f>
        <v>7782.0093911540998</v>
      </c>
      <c r="N168" s="8">
        <f>IF(E168=1,'00-BUDGET'!H$21*L168,'00-BUDGET'!I$21*L168)</f>
        <v>11673.014086731153</v>
      </c>
      <c r="O168" s="8">
        <f>IF(E168=1,'00-BUDGET'!K$21*L168,'00-BUDGET'!L$21*L168)</f>
        <v>15564.018782308207</v>
      </c>
    </row>
    <row r="169" spans="1:15" ht="75" x14ac:dyDescent="0.3">
      <c r="A169" s="5" t="str">
        <f t="shared" si="14"/>
        <v>AIAS-Uta11</v>
      </c>
      <c r="B169" s="26" t="s">
        <v>77</v>
      </c>
      <c r="C169" s="26" t="s">
        <v>29</v>
      </c>
      <c r="D169" s="26" t="s">
        <v>109</v>
      </c>
      <c r="E169" s="26">
        <v>11</v>
      </c>
      <c r="F169" s="8">
        <v>0.34343362439390401</v>
      </c>
      <c r="G169" s="27" t="str">
        <f t="shared" si="15"/>
        <v>Cagliari11</v>
      </c>
      <c r="H169" s="28">
        <f t="shared" si="16"/>
        <v>19</v>
      </c>
      <c r="I169" s="28">
        <f t="shared" si="17"/>
        <v>56</v>
      </c>
      <c r="J169" s="8">
        <f t="shared" si="18"/>
        <v>0.6607142857142857</v>
      </c>
      <c r="K169" s="8">
        <f t="shared" si="19"/>
        <v>0.50207395505409491</v>
      </c>
      <c r="L169" s="29">
        <f t="shared" si="20"/>
        <v>3.1383696959049979E-3</v>
      </c>
      <c r="M169" s="30">
        <f>IF(E169=1,'00-BUDGET'!E$21*L169,'00-BUDGET'!F$21*L169)</f>
        <v>8282.8174282953714</v>
      </c>
      <c r="N169" s="8">
        <f>IF(E169=1,'00-BUDGET'!H$21*L169,'00-BUDGET'!I$21*L169)</f>
        <v>12424.22614244306</v>
      </c>
      <c r="O169" s="8">
        <f>IF(E169=1,'00-BUDGET'!K$21*L169,'00-BUDGET'!L$21*L169)</f>
        <v>16565.63485659075</v>
      </c>
    </row>
    <row r="170" spans="1:15" ht="75" x14ac:dyDescent="0.3">
      <c r="A170" s="5" t="str">
        <f t="shared" si="14"/>
        <v>AIAS-Villacidro8</v>
      </c>
      <c r="B170" s="26" t="s">
        <v>102</v>
      </c>
      <c r="C170" s="26" t="s">
        <v>29</v>
      </c>
      <c r="D170" s="26" t="s">
        <v>110</v>
      </c>
      <c r="E170" s="26">
        <v>8</v>
      </c>
      <c r="F170" s="8">
        <v>5.8371702890174099E-2</v>
      </c>
      <c r="G170" s="27" t="str">
        <f t="shared" si="15"/>
        <v>Medio campidano8</v>
      </c>
      <c r="H170" s="28">
        <f t="shared" si="16"/>
        <v>4</v>
      </c>
      <c r="I170" s="28">
        <f t="shared" si="17"/>
        <v>67</v>
      </c>
      <c r="J170" s="8">
        <f t="shared" si="18"/>
        <v>0.94029850746268662</v>
      </c>
      <c r="K170" s="8">
        <f t="shared" si="19"/>
        <v>0.49933510517643037</v>
      </c>
      <c r="L170" s="29">
        <f t="shared" si="20"/>
        <v>3.1212496613539737E-3</v>
      </c>
      <c r="M170" s="30">
        <f>IF(E170=1,'00-BUDGET'!E$21*L170,'00-BUDGET'!F$21*L170)</f>
        <v>8237.6340578539384</v>
      </c>
      <c r="N170" s="8">
        <f>IF(E170=1,'00-BUDGET'!H$21*L170,'00-BUDGET'!I$21*L170)</f>
        <v>12356.451086780911</v>
      </c>
      <c r="O170" s="8">
        <f>IF(E170=1,'00-BUDGET'!K$21*L170,'00-BUDGET'!L$21*L170)</f>
        <v>16475.268115707884</v>
      </c>
    </row>
    <row r="171" spans="1:15" ht="75" x14ac:dyDescent="0.3">
      <c r="A171" s="5" t="str">
        <f t="shared" si="14"/>
        <v>AIAS-Villacidro9</v>
      </c>
      <c r="B171" s="26" t="s">
        <v>102</v>
      </c>
      <c r="C171" s="26" t="s">
        <v>29</v>
      </c>
      <c r="D171" s="26" t="s">
        <v>110</v>
      </c>
      <c r="E171" s="26">
        <v>9</v>
      </c>
      <c r="F171" s="8">
        <v>5.8371702890174099E-2</v>
      </c>
      <c r="G171" s="27" t="str">
        <f t="shared" si="15"/>
        <v>Medio campidano9</v>
      </c>
      <c r="H171" s="28">
        <f t="shared" si="16"/>
        <v>4</v>
      </c>
      <c r="I171" s="28">
        <f t="shared" si="17"/>
        <v>60</v>
      </c>
      <c r="J171" s="8">
        <f t="shared" si="18"/>
        <v>0.93333333333333335</v>
      </c>
      <c r="K171" s="8">
        <f t="shared" si="19"/>
        <v>0.49585251811175374</v>
      </c>
      <c r="L171" s="29">
        <f t="shared" si="20"/>
        <v>3.0994806657765107E-3</v>
      </c>
      <c r="M171" s="30">
        <f>IF(E171=1,'00-BUDGET'!E$21*L171,'00-BUDGET'!F$21*L171)</f>
        <v>8180.181101881044</v>
      </c>
      <c r="N171" s="8">
        <f>IF(E171=1,'00-BUDGET'!H$21*L171,'00-BUDGET'!I$21*L171)</f>
        <v>12270.27165282157</v>
      </c>
      <c r="O171" s="8">
        <f>IF(E171=1,'00-BUDGET'!K$21*L171,'00-BUDGET'!L$21*L171)</f>
        <v>16360.362203762095</v>
      </c>
    </row>
    <row r="172" spans="1:15" ht="75" x14ac:dyDescent="0.3">
      <c r="A172" s="5" t="str">
        <f t="shared" si="14"/>
        <v>AIAS-Villacidro10</v>
      </c>
      <c r="B172" s="26" t="s">
        <v>102</v>
      </c>
      <c r="C172" s="26" t="s">
        <v>29</v>
      </c>
      <c r="D172" s="26" t="s">
        <v>110</v>
      </c>
      <c r="E172" s="26">
        <v>10</v>
      </c>
      <c r="F172" s="8">
        <v>5.8371702890174099E-2</v>
      </c>
      <c r="G172" s="27" t="str">
        <f t="shared" si="15"/>
        <v>Medio campidano10</v>
      </c>
      <c r="H172" s="28">
        <f t="shared" si="16"/>
        <v>4</v>
      </c>
      <c r="I172" s="28">
        <f t="shared" si="17"/>
        <v>65</v>
      </c>
      <c r="J172" s="8">
        <f t="shared" si="18"/>
        <v>0.93846153846153846</v>
      </c>
      <c r="K172" s="8">
        <f t="shared" si="19"/>
        <v>0.49841662067585629</v>
      </c>
      <c r="L172" s="29">
        <f t="shared" si="20"/>
        <v>3.115508387795082E-3</v>
      </c>
      <c r="M172" s="30">
        <f>IF(E172=1,'00-BUDGET'!E$21*L172,'00-BUDGET'!F$21*L172)</f>
        <v>8222.4816299050417</v>
      </c>
      <c r="N172" s="8">
        <f>IF(E172=1,'00-BUDGET'!H$21*L172,'00-BUDGET'!I$21*L172)</f>
        <v>12333.722444857567</v>
      </c>
      <c r="O172" s="8">
        <f>IF(E172=1,'00-BUDGET'!K$21*L172,'00-BUDGET'!L$21*L172)</f>
        <v>16444.963259810091</v>
      </c>
    </row>
    <row r="173" spans="1:15" ht="75" x14ac:dyDescent="0.3">
      <c r="A173" s="5" t="str">
        <f t="shared" si="14"/>
        <v>AIAS-Villacidro11</v>
      </c>
      <c r="B173" s="26" t="s">
        <v>102</v>
      </c>
      <c r="C173" s="26" t="s">
        <v>29</v>
      </c>
      <c r="D173" s="26" t="s">
        <v>110</v>
      </c>
      <c r="E173" s="26">
        <v>11</v>
      </c>
      <c r="F173" s="8">
        <v>5.8371702890174099E-2</v>
      </c>
      <c r="G173" s="27" t="str">
        <f t="shared" si="15"/>
        <v>Medio campidano11</v>
      </c>
      <c r="H173" s="28">
        <f t="shared" si="16"/>
        <v>4</v>
      </c>
      <c r="I173" s="28">
        <f t="shared" si="17"/>
        <v>56</v>
      </c>
      <c r="J173" s="8">
        <f t="shared" si="18"/>
        <v>0.9285714285714286</v>
      </c>
      <c r="K173" s="8">
        <f t="shared" si="19"/>
        <v>0.49347156573080136</v>
      </c>
      <c r="L173" s="29">
        <f t="shared" si="20"/>
        <v>3.0845977810449801E-3</v>
      </c>
      <c r="M173" s="30">
        <f>IF(E173=1,'00-BUDGET'!E$21*L173,'00-BUDGET'!F$21*L173)</f>
        <v>8140.9020401444741</v>
      </c>
      <c r="N173" s="8">
        <f>IF(E173=1,'00-BUDGET'!H$21*L173,'00-BUDGET'!I$21*L173)</f>
        <v>12211.353060216716</v>
      </c>
      <c r="O173" s="8">
        <f>IF(E173=1,'00-BUDGET'!K$21*L173,'00-BUDGET'!L$21*L173)</f>
        <v>16281.804080288955</v>
      </c>
    </row>
    <row r="174" spans="1:15" ht="75" x14ac:dyDescent="0.3">
      <c r="A174" s="5" t="str">
        <f t="shared" si="14"/>
        <v>AIAS-Villarios5</v>
      </c>
      <c r="B174" s="26" t="s">
        <v>86</v>
      </c>
      <c r="C174" s="26" t="s">
        <v>29</v>
      </c>
      <c r="D174" s="26" t="s">
        <v>111</v>
      </c>
      <c r="E174" s="26">
        <v>5</v>
      </c>
      <c r="F174" s="8">
        <v>7.5018914422396707E-2</v>
      </c>
      <c r="G174" s="27" t="str">
        <f t="shared" si="15"/>
        <v>Sulcis5</v>
      </c>
      <c r="H174" s="28">
        <f t="shared" si="16"/>
        <v>4</v>
      </c>
      <c r="I174" s="28">
        <f t="shared" si="17"/>
        <v>23</v>
      </c>
      <c r="J174" s="8">
        <f t="shared" si="18"/>
        <v>0.82608695652173914</v>
      </c>
      <c r="K174" s="8">
        <f t="shared" si="19"/>
        <v>0.45055293547206793</v>
      </c>
      <c r="L174" s="29">
        <f t="shared" si="20"/>
        <v>2.8163215097150962E-3</v>
      </c>
      <c r="M174" s="30">
        <f>IF(E174=1,'00-BUDGET'!E$21*L174,'00-BUDGET'!F$21*L174)</f>
        <v>7432.8645585601098</v>
      </c>
      <c r="N174" s="8">
        <f>IF(E174=1,'00-BUDGET'!H$21*L174,'00-BUDGET'!I$21*L174)</f>
        <v>11149.296837840169</v>
      </c>
      <c r="O174" s="8">
        <f>IF(E174=1,'00-BUDGET'!K$21*L174,'00-BUDGET'!L$21*L174)</f>
        <v>14865.729117120229</v>
      </c>
    </row>
    <row r="175" spans="1:15" ht="75" x14ac:dyDescent="0.3">
      <c r="A175" s="5" t="str">
        <f t="shared" si="14"/>
        <v>AIAS-Villarios8</v>
      </c>
      <c r="B175" s="26" t="s">
        <v>86</v>
      </c>
      <c r="C175" s="26" t="s">
        <v>29</v>
      </c>
      <c r="D175" s="26" t="s">
        <v>111</v>
      </c>
      <c r="E175" s="26">
        <v>8</v>
      </c>
      <c r="F175" s="8">
        <v>7.5018914422396707E-2</v>
      </c>
      <c r="G175" s="27" t="str">
        <f t="shared" si="15"/>
        <v>Sulcis8</v>
      </c>
      <c r="H175" s="28">
        <f t="shared" si="16"/>
        <v>8</v>
      </c>
      <c r="I175" s="28">
        <f t="shared" si="17"/>
        <v>67</v>
      </c>
      <c r="J175" s="8">
        <f t="shared" si="18"/>
        <v>0.88059701492537312</v>
      </c>
      <c r="K175" s="8">
        <f t="shared" si="19"/>
        <v>0.47780796467388492</v>
      </c>
      <c r="L175" s="29">
        <f t="shared" si="20"/>
        <v>2.9866875620604568E-3</v>
      </c>
      <c r="M175" s="30">
        <f>IF(E175=1,'00-BUDGET'!E$21*L175,'00-BUDGET'!F$21*L175)</f>
        <v>7882.4963879131901</v>
      </c>
      <c r="N175" s="8">
        <f>IF(E175=1,'00-BUDGET'!H$21*L175,'00-BUDGET'!I$21*L175)</f>
        <v>11823.744581869789</v>
      </c>
      <c r="O175" s="8">
        <f>IF(E175=1,'00-BUDGET'!K$21*L175,'00-BUDGET'!L$21*L175)</f>
        <v>15764.992775826389</v>
      </c>
    </row>
    <row r="176" spans="1:15" ht="75" x14ac:dyDescent="0.3">
      <c r="A176" s="5" t="str">
        <f t="shared" si="14"/>
        <v>AIAS-Villarios9</v>
      </c>
      <c r="B176" s="26" t="s">
        <v>86</v>
      </c>
      <c r="C176" s="26" t="s">
        <v>29</v>
      </c>
      <c r="D176" s="26" t="s">
        <v>111</v>
      </c>
      <c r="E176" s="26">
        <v>9</v>
      </c>
      <c r="F176" s="8">
        <v>7.5018914422396707E-2</v>
      </c>
      <c r="G176" s="27" t="str">
        <f t="shared" si="15"/>
        <v>Sulcis9</v>
      </c>
      <c r="H176" s="28">
        <f t="shared" si="16"/>
        <v>7</v>
      </c>
      <c r="I176" s="28">
        <f t="shared" si="17"/>
        <v>60</v>
      </c>
      <c r="J176" s="8">
        <f t="shared" si="18"/>
        <v>0.8833333333333333</v>
      </c>
      <c r="K176" s="8">
        <f t="shared" si="19"/>
        <v>0.47917612387786501</v>
      </c>
      <c r="L176" s="29">
        <f t="shared" si="20"/>
        <v>2.9952396674658888E-3</v>
      </c>
      <c r="M176" s="30">
        <f>IF(E176=1,'00-BUDGET'!E$21*L176,'00-BUDGET'!F$21*L176)</f>
        <v>7905.0671920453988</v>
      </c>
      <c r="N176" s="8">
        <f>IF(E176=1,'00-BUDGET'!H$21*L176,'00-BUDGET'!I$21*L176)</f>
        <v>11857.600788068103</v>
      </c>
      <c r="O176" s="8">
        <f>IF(E176=1,'00-BUDGET'!K$21*L176,'00-BUDGET'!L$21*L176)</f>
        <v>15810.134384090807</v>
      </c>
    </row>
    <row r="177" spans="1:15" ht="75" x14ac:dyDescent="0.3">
      <c r="A177" s="5" t="str">
        <f t="shared" si="14"/>
        <v>AIAS-Villarios10</v>
      </c>
      <c r="B177" s="26" t="s">
        <v>86</v>
      </c>
      <c r="C177" s="26" t="s">
        <v>29</v>
      </c>
      <c r="D177" s="26" t="s">
        <v>111</v>
      </c>
      <c r="E177" s="26">
        <v>10</v>
      </c>
      <c r="F177" s="8">
        <v>7.5018914422396707E-2</v>
      </c>
      <c r="G177" s="27" t="str">
        <f t="shared" si="15"/>
        <v>Sulcis10</v>
      </c>
      <c r="H177" s="28">
        <f t="shared" si="16"/>
        <v>7</v>
      </c>
      <c r="I177" s="28">
        <f t="shared" si="17"/>
        <v>65</v>
      </c>
      <c r="J177" s="8">
        <f t="shared" si="18"/>
        <v>0.89230769230769225</v>
      </c>
      <c r="K177" s="8">
        <f t="shared" si="19"/>
        <v>0.48366330336504448</v>
      </c>
      <c r="L177" s="29">
        <f t="shared" si="20"/>
        <v>3.0232881809983889E-3</v>
      </c>
      <c r="M177" s="30">
        <f>IF(E177=1,'00-BUDGET'!E$21*L177,'00-BUDGET'!F$21*L177)</f>
        <v>7979.0931160873961</v>
      </c>
      <c r="N177" s="8">
        <f>IF(E177=1,'00-BUDGET'!H$21*L177,'00-BUDGET'!I$21*L177)</f>
        <v>11968.639674131098</v>
      </c>
      <c r="O177" s="8">
        <f>IF(E177=1,'00-BUDGET'!K$21*L177,'00-BUDGET'!L$21*L177)</f>
        <v>15958.186232174801</v>
      </c>
    </row>
    <row r="178" spans="1:15" ht="75" x14ac:dyDescent="0.3">
      <c r="A178" s="5" t="str">
        <f t="shared" si="14"/>
        <v>AIAS-Villarios11</v>
      </c>
      <c r="B178" s="26" t="s">
        <v>86</v>
      </c>
      <c r="C178" s="26" t="s">
        <v>29</v>
      </c>
      <c r="D178" s="26" t="s">
        <v>111</v>
      </c>
      <c r="E178" s="26">
        <v>11</v>
      </c>
      <c r="F178" s="8">
        <v>7.5018914422396707E-2</v>
      </c>
      <c r="G178" s="27" t="str">
        <f t="shared" si="15"/>
        <v>Sulcis11</v>
      </c>
      <c r="H178" s="28">
        <f t="shared" si="16"/>
        <v>7</v>
      </c>
      <c r="I178" s="28">
        <f t="shared" si="17"/>
        <v>56</v>
      </c>
      <c r="J178" s="8">
        <f t="shared" si="18"/>
        <v>0.875</v>
      </c>
      <c r="K178" s="8">
        <f t="shared" si="19"/>
        <v>0.47500945721119836</v>
      </c>
      <c r="L178" s="29">
        <f t="shared" si="20"/>
        <v>2.9691946191857102E-3</v>
      </c>
      <c r="M178" s="30">
        <f>IF(E178=1,'00-BUDGET'!E$21*L178,'00-BUDGET'!F$21*L178)</f>
        <v>7836.3288340064018</v>
      </c>
      <c r="N178" s="8">
        <f>IF(E178=1,'00-BUDGET'!H$21*L178,'00-BUDGET'!I$21*L178)</f>
        <v>11754.493251009606</v>
      </c>
      <c r="O178" s="8">
        <f>IF(E178=1,'00-BUDGET'!K$21*L178,'00-BUDGET'!L$21*L178)</f>
        <v>15672.657668012811</v>
      </c>
    </row>
    <row r="179" spans="1:15" ht="45" x14ac:dyDescent="0.3">
      <c r="A179" s="5" t="str">
        <f t="shared" si="14"/>
        <v>FOND. ANFFAS CENTRO V.LE COLOMBO CAGLIARI5</v>
      </c>
      <c r="B179" s="26" t="s">
        <v>77</v>
      </c>
      <c r="C179" s="26" t="s">
        <v>47</v>
      </c>
      <c r="D179" s="26" t="s">
        <v>112</v>
      </c>
      <c r="E179" s="26">
        <v>5</v>
      </c>
      <c r="F179" s="8">
        <v>0.34343362439390401</v>
      </c>
      <c r="G179" s="27" t="str">
        <f t="shared" si="15"/>
        <v>Cagliari5</v>
      </c>
      <c r="H179" s="28">
        <f t="shared" si="16"/>
        <v>11</v>
      </c>
      <c r="I179" s="28">
        <f t="shared" si="17"/>
        <v>23</v>
      </c>
      <c r="J179" s="8">
        <f t="shared" si="18"/>
        <v>0.52173913043478259</v>
      </c>
      <c r="K179" s="8">
        <f t="shared" si="19"/>
        <v>0.4325863774143433</v>
      </c>
      <c r="L179" s="29">
        <f t="shared" si="20"/>
        <v>2.7040159404249993E-3</v>
      </c>
      <c r="M179" s="30">
        <f>IF(E179=1,'00-BUDGET'!E$21*L179,'00-BUDGET'!F$21*L179)</f>
        <v>7136.4665504400346</v>
      </c>
      <c r="N179" s="8">
        <f>IF(E179=1,'00-BUDGET'!H$21*L179,'00-BUDGET'!I$21*L179)</f>
        <v>10704.699825660056</v>
      </c>
      <c r="O179" s="8">
        <f>IF(E179=1,'00-BUDGET'!K$21*L179,'00-BUDGET'!L$21*L179)</f>
        <v>14272.933100880076</v>
      </c>
    </row>
    <row r="180" spans="1:15" ht="45" x14ac:dyDescent="0.3">
      <c r="A180" s="5" t="str">
        <f t="shared" si="14"/>
        <v>FOND. ANFFAS IGLESIAS4</v>
      </c>
      <c r="B180" s="26" t="s">
        <v>86</v>
      </c>
      <c r="C180" s="26" t="s">
        <v>47</v>
      </c>
      <c r="D180" s="26" t="s">
        <v>113</v>
      </c>
      <c r="E180" s="26">
        <v>4</v>
      </c>
      <c r="F180" s="8">
        <v>7.5018914422396707E-2</v>
      </c>
      <c r="G180" s="27" t="str">
        <f t="shared" si="15"/>
        <v>Sulcis4</v>
      </c>
      <c r="H180" s="28">
        <f t="shared" si="16"/>
        <v>1</v>
      </c>
      <c r="I180" s="28">
        <f t="shared" si="17"/>
        <v>6</v>
      </c>
      <c r="J180" s="8">
        <f t="shared" si="18"/>
        <v>0.83333333333333337</v>
      </c>
      <c r="K180" s="8">
        <f t="shared" si="19"/>
        <v>0.45417612387786505</v>
      </c>
      <c r="L180" s="29">
        <f t="shared" si="20"/>
        <v>2.8389693777848171E-3</v>
      </c>
      <c r="M180" s="30">
        <f>IF(E180=1,'00-BUDGET'!E$21*L180,'00-BUDGET'!F$21*L180)</f>
        <v>7492.6370438114136</v>
      </c>
      <c r="N180" s="8">
        <f>IF(E180=1,'00-BUDGET'!H$21*L180,'00-BUDGET'!I$21*L180)</f>
        <v>11238.955565717124</v>
      </c>
      <c r="O180" s="8">
        <f>IF(E180=1,'00-BUDGET'!K$21*L180,'00-BUDGET'!L$21*L180)</f>
        <v>14985.274087622834</v>
      </c>
    </row>
    <row r="181" spans="1:15" ht="45" x14ac:dyDescent="0.3">
      <c r="A181" s="5" t="str">
        <f t="shared" si="14"/>
        <v>FOND. ANFFAS IGLESIAS5</v>
      </c>
      <c r="B181" s="26" t="s">
        <v>86</v>
      </c>
      <c r="C181" s="26" t="s">
        <v>47</v>
      </c>
      <c r="D181" s="26" t="s">
        <v>113</v>
      </c>
      <c r="E181" s="26">
        <v>5</v>
      </c>
      <c r="F181" s="8">
        <v>7.5018914422396707E-2</v>
      </c>
      <c r="G181" s="27" t="str">
        <f t="shared" si="15"/>
        <v>Sulcis5</v>
      </c>
      <c r="H181" s="28">
        <f t="shared" si="16"/>
        <v>4</v>
      </c>
      <c r="I181" s="28">
        <f t="shared" si="17"/>
        <v>23</v>
      </c>
      <c r="J181" s="8">
        <f t="shared" si="18"/>
        <v>0.82608695652173914</v>
      </c>
      <c r="K181" s="8">
        <f t="shared" si="19"/>
        <v>0.45055293547206793</v>
      </c>
      <c r="L181" s="29">
        <f t="shared" si="20"/>
        <v>2.8163215097150962E-3</v>
      </c>
      <c r="M181" s="30">
        <f>IF(E181=1,'00-BUDGET'!E$21*L181,'00-BUDGET'!F$21*L181)</f>
        <v>7432.8645585601098</v>
      </c>
      <c r="N181" s="8">
        <f>IF(E181=1,'00-BUDGET'!H$21*L181,'00-BUDGET'!I$21*L181)</f>
        <v>11149.296837840169</v>
      </c>
      <c r="O181" s="8">
        <f>IF(E181=1,'00-BUDGET'!K$21*L181,'00-BUDGET'!L$21*L181)</f>
        <v>14865.729117120229</v>
      </c>
    </row>
    <row r="182" spans="1:15" ht="45" x14ac:dyDescent="0.3">
      <c r="A182" s="5" t="str">
        <f t="shared" si="14"/>
        <v>FOND. ANFFAS IGLESIAS7</v>
      </c>
      <c r="B182" s="26" t="s">
        <v>86</v>
      </c>
      <c r="C182" s="26" t="s">
        <v>47</v>
      </c>
      <c r="D182" s="26" t="s">
        <v>113</v>
      </c>
      <c r="E182" s="26">
        <v>7</v>
      </c>
      <c r="F182" s="8">
        <v>7.5018914422396707E-2</v>
      </c>
      <c r="G182" s="27" t="str">
        <f t="shared" si="15"/>
        <v>Sulcis7</v>
      </c>
      <c r="H182" s="28">
        <f t="shared" si="16"/>
        <v>3</v>
      </c>
      <c r="I182" s="28">
        <f t="shared" si="17"/>
        <v>32</v>
      </c>
      <c r="J182" s="8">
        <f t="shared" si="18"/>
        <v>0.90625</v>
      </c>
      <c r="K182" s="8">
        <f t="shared" si="19"/>
        <v>0.49063445721119836</v>
      </c>
      <c r="L182" s="29">
        <f t="shared" si="20"/>
        <v>3.0668635502363803E-3</v>
      </c>
      <c r="M182" s="30">
        <f>IF(E182=1,'00-BUDGET'!E$21*L182,'00-BUDGET'!F$21*L182)</f>
        <v>8094.0976766526437</v>
      </c>
      <c r="N182" s="8">
        <f>IF(E182=1,'00-BUDGET'!H$21*L182,'00-BUDGET'!I$21*L182)</f>
        <v>12141.146514978969</v>
      </c>
      <c r="O182" s="8">
        <f>IF(E182=1,'00-BUDGET'!K$21*L182,'00-BUDGET'!L$21*L182)</f>
        <v>16188.195353305295</v>
      </c>
    </row>
    <row r="183" spans="1:15" ht="45" x14ac:dyDescent="0.3">
      <c r="A183" s="5" t="str">
        <f t="shared" si="14"/>
        <v>FOND. ANFFAS IGLESIAS8</v>
      </c>
      <c r="B183" s="26" t="s">
        <v>86</v>
      </c>
      <c r="C183" s="26" t="s">
        <v>47</v>
      </c>
      <c r="D183" s="26" t="s">
        <v>113</v>
      </c>
      <c r="E183" s="26">
        <v>8</v>
      </c>
      <c r="F183" s="8">
        <v>7.5018914422396707E-2</v>
      </c>
      <c r="G183" s="27" t="str">
        <f t="shared" si="15"/>
        <v>Sulcis8</v>
      </c>
      <c r="H183" s="28">
        <f t="shared" si="16"/>
        <v>8</v>
      </c>
      <c r="I183" s="28">
        <f t="shared" si="17"/>
        <v>67</v>
      </c>
      <c r="J183" s="8">
        <f t="shared" si="18"/>
        <v>0.88059701492537312</v>
      </c>
      <c r="K183" s="8">
        <f t="shared" si="19"/>
        <v>0.47780796467388492</v>
      </c>
      <c r="L183" s="29">
        <f t="shared" si="20"/>
        <v>2.9866875620604568E-3</v>
      </c>
      <c r="M183" s="30">
        <f>IF(E183=1,'00-BUDGET'!E$21*L183,'00-BUDGET'!F$21*L183)</f>
        <v>7882.4963879131901</v>
      </c>
      <c r="N183" s="8">
        <f>IF(E183=1,'00-BUDGET'!H$21*L183,'00-BUDGET'!I$21*L183)</f>
        <v>11823.744581869789</v>
      </c>
      <c r="O183" s="8">
        <f>IF(E183=1,'00-BUDGET'!K$21*L183,'00-BUDGET'!L$21*L183)</f>
        <v>15764.992775826389</v>
      </c>
    </row>
    <row r="184" spans="1:15" ht="45" x14ac:dyDescent="0.3">
      <c r="A184" s="5" t="str">
        <f t="shared" si="14"/>
        <v>FOND. ANFFAS VIA MANNO 17 SELARGIUS5</v>
      </c>
      <c r="B184" s="26" t="s">
        <v>77</v>
      </c>
      <c r="C184" s="26" t="s">
        <v>47</v>
      </c>
      <c r="D184" s="26" t="s">
        <v>114</v>
      </c>
      <c r="E184" s="26">
        <v>5</v>
      </c>
      <c r="F184" s="8">
        <v>0.34343362439390401</v>
      </c>
      <c r="G184" s="27" t="str">
        <f t="shared" si="15"/>
        <v>Cagliari5</v>
      </c>
      <c r="H184" s="28">
        <f t="shared" si="16"/>
        <v>11</v>
      </c>
      <c r="I184" s="28">
        <f t="shared" si="17"/>
        <v>23</v>
      </c>
      <c r="J184" s="8">
        <f t="shared" si="18"/>
        <v>0.52173913043478259</v>
      </c>
      <c r="K184" s="8">
        <f t="shared" si="19"/>
        <v>0.4325863774143433</v>
      </c>
      <c r="L184" s="29">
        <f t="shared" si="20"/>
        <v>2.7040159404249993E-3</v>
      </c>
      <c r="M184" s="30">
        <f>IF(E184=1,'00-BUDGET'!E$21*L184,'00-BUDGET'!F$21*L184)</f>
        <v>7136.4665504400346</v>
      </c>
      <c r="N184" s="8">
        <f>IF(E184=1,'00-BUDGET'!H$21*L184,'00-BUDGET'!I$21*L184)</f>
        <v>10704.699825660056</v>
      </c>
      <c r="O184" s="8">
        <f>IF(E184=1,'00-BUDGET'!K$21*L184,'00-BUDGET'!L$21*L184)</f>
        <v>14272.933100880076</v>
      </c>
    </row>
    <row r="185" spans="1:15" ht="45" x14ac:dyDescent="0.3">
      <c r="A185" s="5" t="str">
        <f t="shared" si="14"/>
        <v>FOND. ANFFAS VIA MANNO 17 SELARGIUS6</v>
      </c>
      <c r="B185" s="26" t="s">
        <v>77</v>
      </c>
      <c r="C185" s="26" t="s">
        <v>47</v>
      </c>
      <c r="D185" s="26" t="s">
        <v>114</v>
      </c>
      <c r="E185" s="26">
        <v>6</v>
      </c>
      <c r="F185" s="8">
        <v>0.34343362439390401</v>
      </c>
      <c r="G185" s="27" t="str">
        <f t="shared" si="15"/>
        <v>Cagliari6</v>
      </c>
      <c r="H185" s="28">
        <f t="shared" si="16"/>
        <v>3</v>
      </c>
      <c r="I185" s="28">
        <f t="shared" si="17"/>
        <v>5</v>
      </c>
      <c r="J185" s="8">
        <f t="shared" si="18"/>
        <v>0.4</v>
      </c>
      <c r="K185" s="8">
        <f t="shared" si="19"/>
        <v>0.37171681219695202</v>
      </c>
      <c r="L185" s="29">
        <f t="shared" si="20"/>
        <v>2.3235317568536936E-3</v>
      </c>
      <c r="M185" s="30">
        <f>IF(E185=1,'00-BUDGET'!E$21*L185,'00-BUDGET'!F$21*L185)</f>
        <v>6132.2887982181546</v>
      </c>
      <c r="N185" s="8">
        <f>IF(E185=1,'00-BUDGET'!H$21*L185,'00-BUDGET'!I$21*L185)</f>
        <v>9198.4331973272347</v>
      </c>
      <c r="O185" s="8">
        <f>IF(E185=1,'00-BUDGET'!K$21*L185,'00-BUDGET'!L$21*L185)</f>
        <v>12264.577596436317</v>
      </c>
    </row>
    <row r="186" spans="1:15" ht="45" x14ac:dyDescent="0.3">
      <c r="A186" s="5" t="str">
        <f t="shared" si="14"/>
        <v>FOND. ANFFAS VIA MANNO 17 SELARGIUS10</v>
      </c>
      <c r="B186" s="26" t="s">
        <v>77</v>
      </c>
      <c r="C186" s="26" t="s">
        <v>47</v>
      </c>
      <c r="D186" s="26" t="s">
        <v>114</v>
      </c>
      <c r="E186" s="26">
        <v>10</v>
      </c>
      <c r="F186" s="8">
        <v>0.34343362439390401</v>
      </c>
      <c r="G186" s="27" t="str">
        <f t="shared" si="15"/>
        <v>Cagliari10</v>
      </c>
      <c r="H186" s="28">
        <f t="shared" si="16"/>
        <v>26</v>
      </c>
      <c r="I186" s="28">
        <f t="shared" si="17"/>
        <v>65</v>
      </c>
      <c r="J186" s="8">
        <f t="shared" si="18"/>
        <v>0.6</v>
      </c>
      <c r="K186" s="8">
        <f t="shared" si="19"/>
        <v>0.471716812196952</v>
      </c>
      <c r="L186" s="29">
        <f t="shared" si="20"/>
        <v>2.9486129155779812E-3</v>
      </c>
      <c r="M186" s="30">
        <f>IF(E186=1,'00-BUDGET'!E$21*L186,'00-BUDGET'!F$21*L186)</f>
        <v>7782.0093911540998</v>
      </c>
      <c r="N186" s="8">
        <f>IF(E186=1,'00-BUDGET'!H$21*L186,'00-BUDGET'!I$21*L186)</f>
        <v>11673.014086731153</v>
      </c>
      <c r="O186" s="8">
        <f>IF(E186=1,'00-BUDGET'!K$21*L186,'00-BUDGET'!L$21*L186)</f>
        <v>15564.018782308207</v>
      </c>
    </row>
    <row r="187" spans="1:15" ht="45" x14ac:dyDescent="0.3">
      <c r="A187" s="5" t="str">
        <f t="shared" si="14"/>
        <v>FOND. ANFFAS VIA MATTEOTTI 1 SETTIMO SAN PIETRO5</v>
      </c>
      <c r="B187" s="26" t="s">
        <v>77</v>
      </c>
      <c r="C187" s="26" t="s">
        <v>47</v>
      </c>
      <c r="D187" s="26" t="s">
        <v>115</v>
      </c>
      <c r="E187" s="26">
        <v>5</v>
      </c>
      <c r="F187" s="8">
        <v>0.34343362439390401</v>
      </c>
      <c r="G187" s="27" t="str">
        <f t="shared" si="15"/>
        <v>Cagliari5</v>
      </c>
      <c r="H187" s="28">
        <f t="shared" si="16"/>
        <v>11</v>
      </c>
      <c r="I187" s="28">
        <f t="shared" si="17"/>
        <v>23</v>
      </c>
      <c r="J187" s="8">
        <f t="shared" si="18"/>
        <v>0.52173913043478259</v>
      </c>
      <c r="K187" s="8">
        <f t="shared" si="19"/>
        <v>0.4325863774143433</v>
      </c>
      <c r="L187" s="29">
        <f t="shared" si="20"/>
        <v>2.7040159404249993E-3</v>
      </c>
      <c r="M187" s="30">
        <f>IF(E187=1,'00-BUDGET'!E$21*L187,'00-BUDGET'!F$21*L187)</f>
        <v>7136.4665504400346</v>
      </c>
      <c r="N187" s="8">
        <f>IF(E187=1,'00-BUDGET'!H$21*L187,'00-BUDGET'!I$21*L187)</f>
        <v>10704.699825660056</v>
      </c>
      <c r="O187" s="8">
        <f>IF(E187=1,'00-BUDGET'!K$21*L187,'00-BUDGET'!L$21*L187)</f>
        <v>14272.933100880076</v>
      </c>
    </row>
    <row r="188" spans="1:15" ht="45" x14ac:dyDescent="0.3">
      <c r="A188" s="5" t="str">
        <f t="shared" si="14"/>
        <v>FOND. ANFFAS VIA PRAGA SELARGIUS3</v>
      </c>
      <c r="B188" s="26" t="s">
        <v>77</v>
      </c>
      <c r="C188" s="26" t="s">
        <v>47</v>
      </c>
      <c r="D188" s="26" t="s">
        <v>116</v>
      </c>
      <c r="E188" s="26">
        <v>3</v>
      </c>
      <c r="F188" s="8">
        <v>0.34343362439390401</v>
      </c>
      <c r="G188" s="27" t="str">
        <f t="shared" si="15"/>
        <v>Cagliari3</v>
      </c>
      <c r="H188" s="28">
        <f t="shared" si="16"/>
        <v>4</v>
      </c>
      <c r="I188" s="28">
        <f t="shared" si="17"/>
        <v>10</v>
      </c>
      <c r="J188" s="8">
        <f t="shared" si="18"/>
        <v>0.6</v>
      </c>
      <c r="K188" s="8">
        <f t="shared" si="19"/>
        <v>0.471716812196952</v>
      </c>
      <c r="L188" s="29">
        <f t="shared" si="20"/>
        <v>2.9486129155779812E-3</v>
      </c>
      <c r="M188" s="30">
        <f>IF(E188=1,'00-BUDGET'!E$21*L188,'00-BUDGET'!F$21*L188)</f>
        <v>7782.0093911540998</v>
      </c>
      <c r="N188" s="8">
        <f>IF(E188=1,'00-BUDGET'!H$21*L188,'00-BUDGET'!I$21*L188)</f>
        <v>11673.014086731153</v>
      </c>
      <c r="O188" s="8">
        <f>IF(E188=1,'00-BUDGET'!K$21*L188,'00-BUDGET'!L$21*L188)</f>
        <v>15564.018782308207</v>
      </c>
    </row>
    <row r="189" spans="1:15" ht="45" x14ac:dyDescent="0.3">
      <c r="A189" s="5" t="str">
        <f t="shared" si="14"/>
        <v>FOND. ANFFAS VIA PRAGA SELARGIUS5</v>
      </c>
      <c r="B189" s="26" t="s">
        <v>77</v>
      </c>
      <c r="C189" s="26" t="s">
        <v>47</v>
      </c>
      <c r="D189" s="26" t="s">
        <v>116</v>
      </c>
      <c r="E189" s="26">
        <v>5</v>
      </c>
      <c r="F189" s="8">
        <v>0.34343362439390401</v>
      </c>
      <c r="G189" s="27" t="str">
        <f t="shared" si="15"/>
        <v>Cagliari5</v>
      </c>
      <c r="H189" s="28">
        <f t="shared" si="16"/>
        <v>11</v>
      </c>
      <c r="I189" s="28">
        <f t="shared" si="17"/>
        <v>23</v>
      </c>
      <c r="J189" s="8">
        <f t="shared" si="18"/>
        <v>0.52173913043478259</v>
      </c>
      <c r="K189" s="8">
        <f t="shared" si="19"/>
        <v>0.4325863774143433</v>
      </c>
      <c r="L189" s="29">
        <f t="shared" si="20"/>
        <v>2.7040159404249993E-3</v>
      </c>
      <c r="M189" s="30">
        <f>IF(E189=1,'00-BUDGET'!E$21*L189,'00-BUDGET'!F$21*L189)</f>
        <v>7136.4665504400346</v>
      </c>
      <c r="N189" s="8">
        <f>IF(E189=1,'00-BUDGET'!H$21*L189,'00-BUDGET'!I$21*L189)</f>
        <v>10704.699825660056</v>
      </c>
      <c r="O189" s="8">
        <f>IF(E189=1,'00-BUDGET'!K$21*L189,'00-BUDGET'!L$21*L189)</f>
        <v>14272.933100880076</v>
      </c>
    </row>
    <row r="190" spans="1:15" ht="60" x14ac:dyDescent="0.3">
      <c r="A190" s="5" t="str">
        <f t="shared" si="14"/>
        <v>C.M.F. CENTRO DI MEDICINA FISICA E RIABILITATIVA SRL - Quartu S.E.8</v>
      </c>
      <c r="B190" s="26" t="s">
        <v>77</v>
      </c>
      <c r="C190" s="26" t="s">
        <v>33</v>
      </c>
      <c r="D190" s="26" t="s">
        <v>117</v>
      </c>
      <c r="E190" s="26">
        <v>8</v>
      </c>
      <c r="F190" s="8">
        <v>0.34343362439390401</v>
      </c>
      <c r="G190" s="27" t="str">
        <f t="shared" si="15"/>
        <v>Cagliari8</v>
      </c>
      <c r="H190" s="28">
        <f t="shared" si="16"/>
        <v>26</v>
      </c>
      <c r="I190" s="28">
        <f t="shared" si="17"/>
        <v>67</v>
      </c>
      <c r="J190" s="8">
        <f t="shared" si="18"/>
        <v>0.61194029850746268</v>
      </c>
      <c r="K190" s="8">
        <f t="shared" si="19"/>
        <v>0.47768696145068335</v>
      </c>
      <c r="L190" s="29">
        <f t="shared" si="20"/>
        <v>2.9859311937107747E-3</v>
      </c>
      <c r="M190" s="30">
        <f>IF(E190=1,'00-BUDGET'!E$21*L190,'00-BUDGET'!F$21*L190)</f>
        <v>7880.5001728219177</v>
      </c>
      <c r="N190" s="8">
        <f>IF(E190=1,'00-BUDGET'!H$21*L190,'00-BUDGET'!I$21*L190)</f>
        <v>11820.75025923288</v>
      </c>
      <c r="O190" s="8">
        <f>IF(E190=1,'00-BUDGET'!K$21*L190,'00-BUDGET'!L$21*L190)</f>
        <v>15761.000345643844</v>
      </c>
    </row>
    <row r="191" spans="1:15" ht="60" x14ac:dyDescent="0.3">
      <c r="A191" s="5" t="str">
        <f t="shared" si="14"/>
        <v>C.M.F. CENTRO DI MEDICINA FISICA E RIABILITATIVA SRL - Quartu S.E.10</v>
      </c>
      <c r="B191" s="26" t="s">
        <v>77</v>
      </c>
      <c r="C191" s="26" t="s">
        <v>33</v>
      </c>
      <c r="D191" s="26" t="s">
        <v>117</v>
      </c>
      <c r="E191" s="26">
        <v>10</v>
      </c>
      <c r="F191" s="8">
        <v>0.34343362439390401</v>
      </c>
      <c r="G191" s="27" t="str">
        <f t="shared" si="15"/>
        <v>Cagliari10</v>
      </c>
      <c r="H191" s="28">
        <f t="shared" si="16"/>
        <v>26</v>
      </c>
      <c r="I191" s="28">
        <f t="shared" si="17"/>
        <v>65</v>
      </c>
      <c r="J191" s="8">
        <f t="shared" si="18"/>
        <v>0.6</v>
      </c>
      <c r="K191" s="8">
        <f t="shared" si="19"/>
        <v>0.471716812196952</v>
      </c>
      <c r="L191" s="29">
        <f t="shared" si="20"/>
        <v>2.9486129155779812E-3</v>
      </c>
      <c r="M191" s="30">
        <f>IF(E191=1,'00-BUDGET'!E$21*L191,'00-BUDGET'!F$21*L191)</f>
        <v>7782.0093911540998</v>
      </c>
      <c r="N191" s="8">
        <f>IF(E191=1,'00-BUDGET'!H$21*L191,'00-BUDGET'!I$21*L191)</f>
        <v>11673.014086731153</v>
      </c>
      <c r="O191" s="8">
        <f>IF(E191=1,'00-BUDGET'!K$21*L191,'00-BUDGET'!L$21*L191)</f>
        <v>15564.018782308207</v>
      </c>
    </row>
    <row r="192" spans="1:15" ht="60" x14ac:dyDescent="0.3">
      <c r="A192" s="5" t="str">
        <f t="shared" si="14"/>
        <v>C.M.F. CENTRO DI MEDICINA FISICA E RIABILITATIVA SRL - Assemini4</v>
      </c>
      <c r="B192" s="26" t="s">
        <v>77</v>
      </c>
      <c r="C192" s="26" t="s">
        <v>33</v>
      </c>
      <c r="D192" s="26" t="s">
        <v>118</v>
      </c>
      <c r="E192" s="26">
        <v>4</v>
      </c>
      <c r="F192" s="8">
        <v>0.34343362439390401</v>
      </c>
      <c r="G192" s="27" t="str">
        <f t="shared" si="15"/>
        <v>Cagliari4</v>
      </c>
      <c r="H192" s="28">
        <f t="shared" si="16"/>
        <v>3</v>
      </c>
      <c r="I192" s="28">
        <f t="shared" si="17"/>
        <v>6</v>
      </c>
      <c r="J192" s="8">
        <f t="shared" si="18"/>
        <v>0.5</v>
      </c>
      <c r="K192" s="8">
        <f t="shared" si="19"/>
        <v>0.42171681219695201</v>
      </c>
      <c r="L192" s="29">
        <f t="shared" si="20"/>
        <v>2.6360723362158374E-3</v>
      </c>
      <c r="M192" s="30">
        <f>IF(E192=1,'00-BUDGET'!E$21*L192,'00-BUDGET'!F$21*L192)</f>
        <v>6957.1490946861277</v>
      </c>
      <c r="N192" s="8">
        <f>IF(E192=1,'00-BUDGET'!H$21*L192,'00-BUDGET'!I$21*L192)</f>
        <v>10435.723642029194</v>
      </c>
      <c r="O192" s="8">
        <f>IF(E192=1,'00-BUDGET'!K$21*L192,'00-BUDGET'!L$21*L192)</f>
        <v>13914.298189372263</v>
      </c>
    </row>
    <row r="193" spans="1:15" ht="60" x14ac:dyDescent="0.3">
      <c r="A193" s="5" t="str">
        <f t="shared" si="14"/>
        <v>C.M.F. CENTRO DI MEDICINA FISICA E RIABILITATIVA SRL - Assemini8</v>
      </c>
      <c r="B193" s="26" t="s">
        <v>77</v>
      </c>
      <c r="C193" s="26" t="s">
        <v>33</v>
      </c>
      <c r="D193" s="26" t="s">
        <v>118</v>
      </c>
      <c r="E193" s="26">
        <v>8</v>
      </c>
      <c r="F193" s="8">
        <v>0.34343362439390401</v>
      </c>
      <c r="G193" s="27" t="str">
        <f t="shared" si="15"/>
        <v>Cagliari8</v>
      </c>
      <c r="H193" s="28">
        <f t="shared" si="16"/>
        <v>26</v>
      </c>
      <c r="I193" s="28">
        <f t="shared" si="17"/>
        <v>67</v>
      </c>
      <c r="J193" s="8">
        <f t="shared" si="18"/>
        <v>0.61194029850746268</v>
      </c>
      <c r="K193" s="8">
        <f t="shared" si="19"/>
        <v>0.47768696145068335</v>
      </c>
      <c r="L193" s="29">
        <f t="shared" si="20"/>
        <v>2.9859311937107747E-3</v>
      </c>
      <c r="M193" s="30">
        <f>IF(E193=1,'00-BUDGET'!E$21*L193,'00-BUDGET'!F$21*L193)</f>
        <v>7880.5001728219177</v>
      </c>
      <c r="N193" s="8">
        <f>IF(E193=1,'00-BUDGET'!H$21*L193,'00-BUDGET'!I$21*L193)</f>
        <v>11820.75025923288</v>
      </c>
      <c r="O193" s="8">
        <f>IF(E193=1,'00-BUDGET'!K$21*L193,'00-BUDGET'!L$21*L193)</f>
        <v>15761.000345643844</v>
      </c>
    </row>
    <row r="194" spans="1:15" x14ac:dyDescent="0.3">
      <c r="A194" s="5" t="str">
        <f t="shared" ref="A194:A257" si="21">CONCATENATE(D194,E194)</f>
        <v>C.R.M. srl Centro Riabilitazione Disabili7</v>
      </c>
      <c r="B194" s="26" t="s">
        <v>77</v>
      </c>
      <c r="C194" s="26" t="s">
        <v>30</v>
      </c>
      <c r="D194" s="26" t="s">
        <v>119</v>
      </c>
      <c r="E194" s="26">
        <v>7</v>
      </c>
      <c r="F194" s="8">
        <v>0.34343362439390401</v>
      </c>
      <c r="G194" s="27" t="str">
        <f t="shared" ref="G194:G257" si="22">CONCATENATE(B194,E194)</f>
        <v>Cagliari7</v>
      </c>
      <c r="H194" s="28">
        <f t="shared" ref="H194:H257" si="23">COUNTIF(G$2:G$398,G194)</f>
        <v>15</v>
      </c>
      <c r="I194" s="28">
        <f t="shared" ref="I194:I257" si="24">COUNTIF(E$2:E$398,E194)</f>
        <v>32</v>
      </c>
      <c r="J194" s="8">
        <f t="shared" ref="J194:J257" si="25">IF(1-(H194/I194)=0,1,1-(H194/I194))</f>
        <v>0.53125</v>
      </c>
      <c r="K194" s="8">
        <f t="shared" ref="K194:K257" si="26">AVERAGE(J194,F194)</f>
        <v>0.43734181219695201</v>
      </c>
      <c r="L194" s="29">
        <f t="shared" ref="L194:L257" si="27">K194/IF(E194=1,SUMIF(E$2:E$398,"=1",K$2:K$398),SUMIF(E$2:E$398,"&lt;&gt;1",K$2:K$398))</f>
        <v>2.7337412672665076E-3</v>
      </c>
      <c r="M194" s="30">
        <f>IF(E194=1,'00-BUDGET'!E$21*L194,'00-BUDGET'!F$21*L194)</f>
        <v>7214.9179373323695</v>
      </c>
      <c r="N194" s="8">
        <f>IF(E194=1,'00-BUDGET'!H$21*L194,'00-BUDGET'!I$21*L194)</f>
        <v>10822.376905998557</v>
      </c>
      <c r="O194" s="8">
        <f>IF(E194=1,'00-BUDGET'!K$21*L194,'00-BUDGET'!L$21*L194)</f>
        <v>14429.835874664746</v>
      </c>
    </row>
    <row r="195" spans="1:15" x14ac:dyDescent="0.3">
      <c r="A195" s="5" t="str">
        <f t="shared" si="21"/>
        <v>C.R.M. srl Centro Riabilitazione Disabili8</v>
      </c>
      <c r="B195" s="26" t="s">
        <v>77</v>
      </c>
      <c r="C195" s="26" t="s">
        <v>30</v>
      </c>
      <c r="D195" s="26" t="s">
        <v>119</v>
      </c>
      <c r="E195" s="26">
        <v>8</v>
      </c>
      <c r="F195" s="8">
        <v>0.34343362439390401</v>
      </c>
      <c r="G195" s="27" t="str">
        <f t="shared" si="22"/>
        <v>Cagliari8</v>
      </c>
      <c r="H195" s="28">
        <f t="shared" si="23"/>
        <v>26</v>
      </c>
      <c r="I195" s="28">
        <f t="shared" si="24"/>
        <v>67</v>
      </c>
      <c r="J195" s="8">
        <f t="shared" si="25"/>
        <v>0.61194029850746268</v>
      </c>
      <c r="K195" s="8">
        <f t="shared" si="26"/>
        <v>0.47768696145068335</v>
      </c>
      <c r="L195" s="29">
        <f t="shared" si="27"/>
        <v>2.9859311937107747E-3</v>
      </c>
      <c r="M195" s="30">
        <f>IF(E195=1,'00-BUDGET'!E$21*L195,'00-BUDGET'!F$21*L195)</f>
        <v>7880.5001728219177</v>
      </c>
      <c r="N195" s="8">
        <f>IF(E195=1,'00-BUDGET'!H$21*L195,'00-BUDGET'!I$21*L195)</f>
        <v>11820.75025923288</v>
      </c>
      <c r="O195" s="8">
        <f>IF(E195=1,'00-BUDGET'!K$21*L195,'00-BUDGET'!L$21*L195)</f>
        <v>15761.000345643844</v>
      </c>
    </row>
    <row r="196" spans="1:15" x14ac:dyDescent="0.3">
      <c r="A196" s="5" t="str">
        <f t="shared" si="21"/>
        <v>C.R.M. srl Centro Riabilitazione Disabili9</v>
      </c>
      <c r="B196" s="26" t="s">
        <v>77</v>
      </c>
      <c r="C196" s="26" t="s">
        <v>30</v>
      </c>
      <c r="D196" s="26" t="s">
        <v>119</v>
      </c>
      <c r="E196" s="26">
        <v>9</v>
      </c>
      <c r="F196" s="8">
        <v>0.34343362439390401</v>
      </c>
      <c r="G196" s="27" t="str">
        <f t="shared" si="22"/>
        <v>Cagliari9</v>
      </c>
      <c r="H196" s="28">
        <f t="shared" si="23"/>
        <v>22</v>
      </c>
      <c r="I196" s="28">
        <f t="shared" si="24"/>
        <v>60</v>
      </c>
      <c r="J196" s="8">
        <f t="shared" si="25"/>
        <v>0.6333333333333333</v>
      </c>
      <c r="K196" s="8">
        <f t="shared" si="26"/>
        <v>0.48838347886361866</v>
      </c>
      <c r="L196" s="29">
        <f t="shared" si="27"/>
        <v>3.0527931086986961E-3</v>
      </c>
      <c r="M196" s="30">
        <f>IF(E196=1,'00-BUDGET'!E$21*L196,'00-BUDGET'!F$21*L196)</f>
        <v>8056.9628233100912</v>
      </c>
      <c r="N196" s="8">
        <f>IF(E196=1,'00-BUDGET'!H$21*L196,'00-BUDGET'!I$21*L196)</f>
        <v>12085.444234965142</v>
      </c>
      <c r="O196" s="8">
        <f>IF(E196=1,'00-BUDGET'!K$21*L196,'00-BUDGET'!L$21*L196)</f>
        <v>16113.925646620191</v>
      </c>
    </row>
    <row r="197" spans="1:15" x14ac:dyDescent="0.3">
      <c r="A197" s="5" t="str">
        <f t="shared" si="21"/>
        <v>C.R.M. srl Centro Riabilitazione Disabili10</v>
      </c>
      <c r="B197" s="26" t="s">
        <v>77</v>
      </c>
      <c r="C197" s="26" t="s">
        <v>30</v>
      </c>
      <c r="D197" s="26" t="s">
        <v>119</v>
      </c>
      <c r="E197" s="26">
        <v>10</v>
      </c>
      <c r="F197" s="8">
        <v>0.34343362439390401</v>
      </c>
      <c r="G197" s="27" t="str">
        <f t="shared" si="22"/>
        <v>Cagliari10</v>
      </c>
      <c r="H197" s="28">
        <f t="shared" si="23"/>
        <v>26</v>
      </c>
      <c r="I197" s="28">
        <f t="shared" si="24"/>
        <v>65</v>
      </c>
      <c r="J197" s="8">
        <f t="shared" si="25"/>
        <v>0.6</v>
      </c>
      <c r="K197" s="8">
        <f t="shared" si="26"/>
        <v>0.471716812196952</v>
      </c>
      <c r="L197" s="29">
        <f t="shared" si="27"/>
        <v>2.9486129155779812E-3</v>
      </c>
      <c r="M197" s="30">
        <f>IF(E197=1,'00-BUDGET'!E$21*L197,'00-BUDGET'!F$21*L197)</f>
        <v>7782.0093911540998</v>
      </c>
      <c r="N197" s="8">
        <f>IF(E197=1,'00-BUDGET'!H$21*L197,'00-BUDGET'!I$21*L197)</f>
        <v>11673.014086731153</v>
      </c>
      <c r="O197" s="8">
        <f>IF(E197=1,'00-BUDGET'!K$21*L197,'00-BUDGET'!L$21*L197)</f>
        <v>15564.018782308207</v>
      </c>
    </row>
    <row r="198" spans="1:15" x14ac:dyDescent="0.3">
      <c r="A198" s="5" t="str">
        <f t="shared" si="21"/>
        <v>C.R.M. srl Centro Riabilitazione Disabili11</v>
      </c>
      <c r="B198" s="26" t="s">
        <v>77</v>
      </c>
      <c r="C198" s="26" t="s">
        <v>30</v>
      </c>
      <c r="D198" s="26" t="s">
        <v>119</v>
      </c>
      <c r="E198" s="26">
        <v>11</v>
      </c>
      <c r="F198" s="8">
        <v>0.34343362439390401</v>
      </c>
      <c r="G198" s="27" t="str">
        <f t="shared" si="22"/>
        <v>Cagliari11</v>
      </c>
      <c r="H198" s="28">
        <f t="shared" si="23"/>
        <v>19</v>
      </c>
      <c r="I198" s="28">
        <f t="shared" si="24"/>
        <v>56</v>
      </c>
      <c r="J198" s="8">
        <f t="shared" si="25"/>
        <v>0.6607142857142857</v>
      </c>
      <c r="K198" s="8">
        <f t="shared" si="26"/>
        <v>0.50207395505409491</v>
      </c>
      <c r="L198" s="29">
        <f t="shared" si="27"/>
        <v>3.1383696959049979E-3</v>
      </c>
      <c r="M198" s="30">
        <f>IF(E198=1,'00-BUDGET'!E$21*L198,'00-BUDGET'!F$21*L198)</f>
        <v>8282.8174282953714</v>
      </c>
      <c r="N198" s="8">
        <f>IF(E198=1,'00-BUDGET'!H$21*L198,'00-BUDGET'!I$21*L198)</f>
        <v>12424.22614244306</v>
      </c>
      <c r="O198" s="8">
        <f>IF(E198=1,'00-BUDGET'!K$21*L198,'00-BUDGET'!L$21*L198)</f>
        <v>16565.63485659075</v>
      </c>
    </row>
    <row r="199" spans="1:15" ht="60" x14ac:dyDescent="0.3">
      <c r="A199" s="5" t="str">
        <f t="shared" si="21"/>
        <v>C.R.N. CENTRO RIABILITAZIONE NEUROPATICI7</v>
      </c>
      <c r="B199" s="26" t="s">
        <v>77</v>
      </c>
      <c r="C199" s="26" t="s">
        <v>31</v>
      </c>
      <c r="D199" s="26" t="s">
        <v>120</v>
      </c>
      <c r="E199" s="26">
        <v>7</v>
      </c>
      <c r="F199" s="8">
        <v>0.34343362439390401</v>
      </c>
      <c r="G199" s="27" t="str">
        <f t="shared" si="22"/>
        <v>Cagliari7</v>
      </c>
      <c r="H199" s="28">
        <f t="shared" si="23"/>
        <v>15</v>
      </c>
      <c r="I199" s="28">
        <f t="shared" si="24"/>
        <v>32</v>
      </c>
      <c r="J199" s="8">
        <f t="shared" si="25"/>
        <v>0.53125</v>
      </c>
      <c r="K199" s="8">
        <f t="shared" si="26"/>
        <v>0.43734181219695201</v>
      </c>
      <c r="L199" s="29">
        <f t="shared" si="27"/>
        <v>2.7337412672665076E-3</v>
      </c>
      <c r="M199" s="30">
        <f>IF(E199=1,'00-BUDGET'!E$21*L199,'00-BUDGET'!F$21*L199)</f>
        <v>7214.9179373323695</v>
      </c>
      <c r="N199" s="8">
        <f>IF(E199=1,'00-BUDGET'!H$21*L199,'00-BUDGET'!I$21*L199)</f>
        <v>10822.376905998557</v>
      </c>
      <c r="O199" s="8">
        <f>IF(E199=1,'00-BUDGET'!K$21*L199,'00-BUDGET'!L$21*L199)</f>
        <v>14429.835874664746</v>
      </c>
    </row>
    <row r="200" spans="1:15" ht="60" x14ac:dyDescent="0.3">
      <c r="A200" s="5" t="str">
        <f t="shared" si="21"/>
        <v>C.R.N. CENTRO RIABILITAZIONE NEUROPATICI8</v>
      </c>
      <c r="B200" s="26" t="s">
        <v>77</v>
      </c>
      <c r="C200" s="26" t="s">
        <v>31</v>
      </c>
      <c r="D200" s="26" t="s">
        <v>120</v>
      </c>
      <c r="E200" s="26">
        <v>8</v>
      </c>
      <c r="F200" s="8">
        <v>0.34343362439390401</v>
      </c>
      <c r="G200" s="27" t="str">
        <f t="shared" si="22"/>
        <v>Cagliari8</v>
      </c>
      <c r="H200" s="28">
        <f t="shared" si="23"/>
        <v>26</v>
      </c>
      <c r="I200" s="28">
        <f t="shared" si="24"/>
        <v>67</v>
      </c>
      <c r="J200" s="8">
        <f t="shared" si="25"/>
        <v>0.61194029850746268</v>
      </c>
      <c r="K200" s="8">
        <f t="shared" si="26"/>
        <v>0.47768696145068335</v>
      </c>
      <c r="L200" s="29">
        <f t="shared" si="27"/>
        <v>2.9859311937107747E-3</v>
      </c>
      <c r="M200" s="30">
        <f>IF(E200=1,'00-BUDGET'!E$21*L200,'00-BUDGET'!F$21*L200)</f>
        <v>7880.5001728219177</v>
      </c>
      <c r="N200" s="8">
        <f>IF(E200=1,'00-BUDGET'!H$21*L200,'00-BUDGET'!I$21*L200)</f>
        <v>11820.75025923288</v>
      </c>
      <c r="O200" s="8">
        <f>IF(E200=1,'00-BUDGET'!K$21*L200,'00-BUDGET'!L$21*L200)</f>
        <v>15761.000345643844</v>
      </c>
    </row>
    <row r="201" spans="1:15" ht="60" x14ac:dyDescent="0.3">
      <c r="A201" s="5" t="str">
        <f t="shared" si="21"/>
        <v>C.R.N. CENTRO RIABILITAZIONE NEUROPATICI9</v>
      </c>
      <c r="B201" s="26" t="s">
        <v>77</v>
      </c>
      <c r="C201" s="26" t="s">
        <v>31</v>
      </c>
      <c r="D201" s="26" t="s">
        <v>120</v>
      </c>
      <c r="E201" s="26">
        <v>9</v>
      </c>
      <c r="F201" s="8">
        <v>0.34343362439390401</v>
      </c>
      <c r="G201" s="27" t="str">
        <f t="shared" si="22"/>
        <v>Cagliari9</v>
      </c>
      <c r="H201" s="28">
        <f t="shared" si="23"/>
        <v>22</v>
      </c>
      <c r="I201" s="28">
        <f t="shared" si="24"/>
        <v>60</v>
      </c>
      <c r="J201" s="8">
        <f t="shared" si="25"/>
        <v>0.6333333333333333</v>
      </c>
      <c r="K201" s="8">
        <f t="shared" si="26"/>
        <v>0.48838347886361866</v>
      </c>
      <c r="L201" s="29">
        <f t="shared" si="27"/>
        <v>3.0527931086986961E-3</v>
      </c>
      <c r="M201" s="30">
        <f>IF(E201=1,'00-BUDGET'!E$21*L201,'00-BUDGET'!F$21*L201)</f>
        <v>8056.9628233100912</v>
      </c>
      <c r="N201" s="8">
        <f>IF(E201=1,'00-BUDGET'!H$21*L201,'00-BUDGET'!I$21*L201)</f>
        <v>12085.444234965142</v>
      </c>
      <c r="O201" s="8">
        <f>IF(E201=1,'00-BUDGET'!K$21*L201,'00-BUDGET'!L$21*L201)</f>
        <v>16113.925646620191</v>
      </c>
    </row>
    <row r="202" spans="1:15" ht="60" x14ac:dyDescent="0.3">
      <c r="A202" s="5" t="str">
        <f t="shared" si="21"/>
        <v>C.R.N. CENTRO RIABILITAZIONE NEUROPATICI10</v>
      </c>
      <c r="B202" s="26" t="s">
        <v>77</v>
      </c>
      <c r="C202" s="26" t="s">
        <v>31</v>
      </c>
      <c r="D202" s="26" t="s">
        <v>120</v>
      </c>
      <c r="E202" s="26">
        <v>10</v>
      </c>
      <c r="F202" s="8">
        <v>0.34343362439390401</v>
      </c>
      <c r="G202" s="27" t="str">
        <f t="shared" si="22"/>
        <v>Cagliari10</v>
      </c>
      <c r="H202" s="28">
        <f t="shared" si="23"/>
        <v>26</v>
      </c>
      <c r="I202" s="28">
        <f t="shared" si="24"/>
        <v>65</v>
      </c>
      <c r="J202" s="8">
        <f t="shared" si="25"/>
        <v>0.6</v>
      </c>
      <c r="K202" s="8">
        <f t="shared" si="26"/>
        <v>0.471716812196952</v>
      </c>
      <c r="L202" s="29">
        <f t="shared" si="27"/>
        <v>2.9486129155779812E-3</v>
      </c>
      <c r="M202" s="30">
        <f>IF(E202=1,'00-BUDGET'!E$21*L202,'00-BUDGET'!F$21*L202)</f>
        <v>7782.0093911540998</v>
      </c>
      <c r="N202" s="8">
        <f>IF(E202=1,'00-BUDGET'!H$21*L202,'00-BUDGET'!I$21*L202)</f>
        <v>11673.014086731153</v>
      </c>
      <c r="O202" s="8">
        <f>IF(E202=1,'00-BUDGET'!K$21*L202,'00-BUDGET'!L$21*L202)</f>
        <v>15564.018782308207</v>
      </c>
    </row>
    <row r="203" spans="1:15" ht="90" x14ac:dyDescent="0.3">
      <c r="A203" s="5" t="str">
        <f t="shared" si="21"/>
        <v>CTR Onlus Cagliari7</v>
      </c>
      <c r="B203" s="26" t="s">
        <v>77</v>
      </c>
      <c r="C203" s="26" t="s">
        <v>45</v>
      </c>
      <c r="D203" s="26" t="s">
        <v>121</v>
      </c>
      <c r="E203" s="26">
        <v>7</v>
      </c>
      <c r="F203" s="8">
        <v>0.34343362439390401</v>
      </c>
      <c r="G203" s="27" t="str">
        <f t="shared" si="22"/>
        <v>Cagliari7</v>
      </c>
      <c r="H203" s="28">
        <f t="shared" si="23"/>
        <v>15</v>
      </c>
      <c r="I203" s="28">
        <f t="shared" si="24"/>
        <v>32</v>
      </c>
      <c r="J203" s="8">
        <f t="shared" si="25"/>
        <v>0.53125</v>
      </c>
      <c r="K203" s="8">
        <f t="shared" si="26"/>
        <v>0.43734181219695201</v>
      </c>
      <c r="L203" s="29">
        <f t="shared" si="27"/>
        <v>2.7337412672665076E-3</v>
      </c>
      <c r="M203" s="30">
        <f>IF(E203=1,'00-BUDGET'!E$21*L203,'00-BUDGET'!F$21*L203)</f>
        <v>7214.9179373323695</v>
      </c>
      <c r="N203" s="8">
        <f>IF(E203=1,'00-BUDGET'!H$21*L203,'00-BUDGET'!I$21*L203)</f>
        <v>10822.376905998557</v>
      </c>
      <c r="O203" s="8">
        <f>IF(E203=1,'00-BUDGET'!K$21*L203,'00-BUDGET'!L$21*L203)</f>
        <v>14429.835874664746</v>
      </c>
    </row>
    <row r="204" spans="1:15" ht="90" x14ac:dyDescent="0.3">
      <c r="A204" s="5" t="str">
        <f t="shared" si="21"/>
        <v>CTR Onlus Cagliari8</v>
      </c>
      <c r="B204" s="26" t="s">
        <v>77</v>
      </c>
      <c r="C204" s="26" t="s">
        <v>45</v>
      </c>
      <c r="D204" s="26" t="s">
        <v>121</v>
      </c>
      <c r="E204" s="26">
        <v>8</v>
      </c>
      <c r="F204" s="8">
        <v>0.34343362439390401</v>
      </c>
      <c r="G204" s="27" t="str">
        <f t="shared" si="22"/>
        <v>Cagliari8</v>
      </c>
      <c r="H204" s="28">
        <f t="shared" si="23"/>
        <v>26</v>
      </c>
      <c r="I204" s="28">
        <f t="shared" si="24"/>
        <v>67</v>
      </c>
      <c r="J204" s="8">
        <f t="shared" si="25"/>
        <v>0.61194029850746268</v>
      </c>
      <c r="K204" s="8">
        <f t="shared" si="26"/>
        <v>0.47768696145068335</v>
      </c>
      <c r="L204" s="29">
        <f t="shared" si="27"/>
        <v>2.9859311937107747E-3</v>
      </c>
      <c r="M204" s="30">
        <f>IF(E204=1,'00-BUDGET'!E$21*L204,'00-BUDGET'!F$21*L204)</f>
        <v>7880.5001728219177</v>
      </c>
      <c r="N204" s="8">
        <f>IF(E204=1,'00-BUDGET'!H$21*L204,'00-BUDGET'!I$21*L204)</f>
        <v>11820.75025923288</v>
      </c>
      <c r="O204" s="8">
        <f>IF(E204=1,'00-BUDGET'!K$21*L204,'00-BUDGET'!L$21*L204)</f>
        <v>15761.000345643844</v>
      </c>
    </row>
    <row r="205" spans="1:15" ht="90" x14ac:dyDescent="0.3">
      <c r="A205" s="5" t="str">
        <f t="shared" si="21"/>
        <v>CTR Onlus Cagliari9</v>
      </c>
      <c r="B205" s="26" t="s">
        <v>77</v>
      </c>
      <c r="C205" s="26" t="s">
        <v>45</v>
      </c>
      <c r="D205" s="26" t="s">
        <v>121</v>
      </c>
      <c r="E205" s="26">
        <v>9</v>
      </c>
      <c r="F205" s="8">
        <v>0.34343362439390401</v>
      </c>
      <c r="G205" s="27" t="str">
        <f t="shared" si="22"/>
        <v>Cagliari9</v>
      </c>
      <c r="H205" s="28">
        <f t="shared" si="23"/>
        <v>22</v>
      </c>
      <c r="I205" s="28">
        <f t="shared" si="24"/>
        <v>60</v>
      </c>
      <c r="J205" s="8">
        <f t="shared" si="25"/>
        <v>0.6333333333333333</v>
      </c>
      <c r="K205" s="8">
        <f t="shared" si="26"/>
        <v>0.48838347886361866</v>
      </c>
      <c r="L205" s="29">
        <f t="shared" si="27"/>
        <v>3.0527931086986961E-3</v>
      </c>
      <c r="M205" s="30">
        <f>IF(E205=1,'00-BUDGET'!E$21*L205,'00-BUDGET'!F$21*L205)</f>
        <v>8056.9628233100912</v>
      </c>
      <c r="N205" s="8">
        <f>IF(E205=1,'00-BUDGET'!H$21*L205,'00-BUDGET'!I$21*L205)</f>
        <v>12085.444234965142</v>
      </c>
      <c r="O205" s="8">
        <f>IF(E205=1,'00-BUDGET'!K$21*L205,'00-BUDGET'!L$21*L205)</f>
        <v>16113.925646620191</v>
      </c>
    </row>
    <row r="206" spans="1:15" ht="90" x14ac:dyDescent="0.3">
      <c r="A206" s="5" t="str">
        <f t="shared" si="21"/>
        <v>CTR Onlus Cagliari10</v>
      </c>
      <c r="B206" s="26" t="s">
        <v>77</v>
      </c>
      <c r="C206" s="26" t="s">
        <v>45</v>
      </c>
      <c r="D206" s="26" t="s">
        <v>121</v>
      </c>
      <c r="E206" s="26">
        <v>10</v>
      </c>
      <c r="F206" s="8">
        <v>0.34343362439390401</v>
      </c>
      <c r="G206" s="27" t="str">
        <f t="shared" si="22"/>
        <v>Cagliari10</v>
      </c>
      <c r="H206" s="28">
        <f t="shared" si="23"/>
        <v>26</v>
      </c>
      <c r="I206" s="28">
        <f t="shared" si="24"/>
        <v>65</v>
      </c>
      <c r="J206" s="8">
        <f t="shared" si="25"/>
        <v>0.6</v>
      </c>
      <c r="K206" s="8">
        <f t="shared" si="26"/>
        <v>0.471716812196952</v>
      </c>
      <c r="L206" s="29">
        <f t="shared" si="27"/>
        <v>2.9486129155779812E-3</v>
      </c>
      <c r="M206" s="30">
        <f>IF(E206=1,'00-BUDGET'!E$21*L206,'00-BUDGET'!F$21*L206)</f>
        <v>7782.0093911540998</v>
      </c>
      <c r="N206" s="8">
        <f>IF(E206=1,'00-BUDGET'!H$21*L206,'00-BUDGET'!I$21*L206)</f>
        <v>11673.014086731153</v>
      </c>
      <c r="O206" s="8">
        <f>IF(E206=1,'00-BUDGET'!K$21*L206,'00-BUDGET'!L$21*L206)</f>
        <v>15564.018782308207</v>
      </c>
    </row>
    <row r="207" spans="1:15" ht="90" x14ac:dyDescent="0.3">
      <c r="A207" s="5" t="str">
        <f t="shared" si="21"/>
        <v>CTR Onlus Cagliari11</v>
      </c>
      <c r="B207" s="26" t="s">
        <v>77</v>
      </c>
      <c r="C207" s="26" t="s">
        <v>45</v>
      </c>
      <c r="D207" s="26" t="s">
        <v>121</v>
      </c>
      <c r="E207" s="26">
        <v>11</v>
      </c>
      <c r="F207" s="8">
        <v>0.34343362439390401</v>
      </c>
      <c r="G207" s="27" t="str">
        <f t="shared" si="22"/>
        <v>Cagliari11</v>
      </c>
      <c r="H207" s="28">
        <f t="shared" si="23"/>
        <v>19</v>
      </c>
      <c r="I207" s="28">
        <f t="shared" si="24"/>
        <v>56</v>
      </c>
      <c r="J207" s="8">
        <f t="shared" si="25"/>
        <v>0.6607142857142857</v>
      </c>
      <c r="K207" s="8">
        <f t="shared" si="26"/>
        <v>0.50207395505409491</v>
      </c>
      <c r="L207" s="29">
        <f t="shared" si="27"/>
        <v>3.1383696959049979E-3</v>
      </c>
      <c r="M207" s="30">
        <f>IF(E207=1,'00-BUDGET'!E$21*L207,'00-BUDGET'!F$21*L207)</f>
        <v>8282.8174282953714</v>
      </c>
      <c r="N207" s="8">
        <f>IF(E207=1,'00-BUDGET'!H$21*L207,'00-BUDGET'!I$21*L207)</f>
        <v>12424.22614244306</v>
      </c>
      <c r="O207" s="8">
        <f>IF(E207=1,'00-BUDGET'!K$21*L207,'00-BUDGET'!L$21*L207)</f>
        <v>16565.63485659075</v>
      </c>
    </row>
    <row r="208" spans="1:15" ht="90" x14ac:dyDescent="0.3">
      <c r="A208" s="5" t="str">
        <f t="shared" si="21"/>
        <v>CTR Onlus CARBONIA8</v>
      </c>
      <c r="B208" s="26" t="s">
        <v>86</v>
      </c>
      <c r="C208" s="26" t="s">
        <v>45</v>
      </c>
      <c r="D208" s="26" t="s">
        <v>122</v>
      </c>
      <c r="E208" s="26">
        <v>8</v>
      </c>
      <c r="F208" s="8">
        <v>7.5018914422396707E-2</v>
      </c>
      <c r="G208" s="27" t="str">
        <f t="shared" si="22"/>
        <v>Sulcis8</v>
      </c>
      <c r="H208" s="28">
        <f t="shared" si="23"/>
        <v>8</v>
      </c>
      <c r="I208" s="28">
        <f t="shared" si="24"/>
        <v>67</v>
      </c>
      <c r="J208" s="8">
        <f t="shared" si="25"/>
        <v>0.88059701492537312</v>
      </c>
      <c r="K208" s="8">
        <f t="shared" si="26"/>
        <v>0.47780796467388492</v>
      </c>
      <c r="L208" s="29">
        <f t="shared" si="27"/>
        <v>2.9866875620604568E-3</v>
      </c>
      <c r="M208" s="30">
        <f>IF(E208=1,'00-BUDGET'!E$21*L208,'00-BUDGET'!F$21*L208)</f>
        <v>7882.4963879131901</v>
      </c>
      <c r="N208" s="8">
        <f>IF(E208=1,'00-BUDGET'!H$21*L208,'00-BUDGET'!I$21*L208)</f>
        <v>11823.744581869789</v>
      </c>
      <c r="O208" s="8">
        <f>IF(E208=1,'00-BUDGET'!K$21*L208,'00-BUDGET'!L$21*L208)</f>
        <v>15764.992775826389</v>
      </c>
    </row>
    <row r="209" spans="1:15" ht="90" x14ac:dyDescent="0.3">
      <c r="A209" s="5" t="str">
        <f t="shared" si="21"/>
        <v>CTR Onlus CARBONIA9</v>
      </c>
      <c r="B209" s="26" t="s">
        <v>86</v>
      </c>
      <c r="C209" s="26" t="s">
        <v>45</v>
      </c>
      <c r="D209" s="26" t="s">
        <v>122</v>
      </c>
      <c r="E209" s="26">
        <v>9</v>
      </c>
      <c r="F209" s="8">
        <v>7.5018914422396707E-2</v>
      </c>
      <c r="G209" s="27" t="str">
        <f t="shared" si="22"/>
        <v>Sulcis9</v>
      </c>
      <c r="H209" s="28">
        <f t="shared" si="23"/>
        <v>7</v>
      </c>
      <c r="I209" s="28">
        <f t="shared" si="24"/>
        <v>60</v>
      </c>
      <c r="J209" s="8">
        <f t="shared" si="25"/>
        <v>0.8833333333333333</v>
      </c>
      <c r="K209" s="8">
        <f t="shared" si="26"/>
        <v>0.47917612387786501</v>
      </c>
      <c r="L209" s="29">
        <f t="shared" si="27"/>
        <v>2.9952396674658888E-3</v>
      </c>
      <c r="M209" s="30">
        <f>IF(E209=1,'00-BUDGET'!E$21*L209,'00-BUDGET'!F$21*L209)</f>
        <v>7905.0671920453988</v>
      </c>
      <c r="N209" s="8">
        <f>IF(E209=1,'00-BUDGET'!H$21*L209,'00-BUDGET'!I$21*L209)</f>
        <v>11857.600788068103</v>
      </c>
      <c r="O209" s="8">
        <f>IF(E209=1,'00-BUDGET'!K$21*L209,'00-BUDGET'!L$21*L209)</f>
        <v>15810.134384090807</v>
      </c>
    </row>
    <row r="210" spans="1:15" ht="90" x14ac:dyDescent="0.3">
      <c r="A210" s="5" t="str">
        <f t="shared" si="21"/>
        <v>CTR Onlus CARBONIA10</v>
      </c>
      <c r="B210" s="26" t="s">
        <v>86</v>
      </c>
      <c r="C210" s="26" t="s">
        <v>45</v>
      </c>
      <c r="D210" s="26" t="s">
        <v>122</v>
      </c>
      <c r="E210" s="26">
        <v>10</v>
      </c>
      <c r="F210" s="8">
        <v>7.5018914422396707E-2</v>
      </c>
      <c r="G210" s="27" t="str">
        <f t="shared" si="22"/>
        <v>Sulcis10</v>
      </c>
      <c r="H210" s="28">
        <f t="shared" si="23"/>
        <v>7</v>
      </c>
      <c r="I210" s="28">
        <f t="shared" si="24"/>
        <v>65</v>
      </c>
      <c r="J210" s="8">
        <f t="shared" si="25"/>
        <v>0.89230769230769225</v>
      </c>
      <c r="K210" s="8">
        <f t="shared" si="26"/>
        <v>0.48366330336504448</v>
      </c>
      <c r="L210" s="29">
        <f t="shared" si="27"/>
        <v>3.0232881809983889E-3</v>
      </c>
      <c r="M210" s="30">
        <f>IF(E210=1,'00-BUDGET'!E$21*L210,'00-BUDGET'!F$21*L210)</f>
        <v>7979.0931160873961</v>
      </c>
      <c r="N210" s="8">
        <f>IF(E210=1,'00-BUDGET'!H$21*L210,'00-BUDGET'!I$21*L210)</f>
        <v>11968.639674131098</v>
      </c>
      <c r="O210" s="8">
        <f>IF(E210=1,'00-BUDGET'!K$21*L210,'00-BUDGET'!L$21*L210)</f>
        <v>15958.186232174801</v>
      </c>
    </row>
    <row r="211" spans="1:15" ht="90" x14ac:dyDescent="0.3">
      <c r="A211" s="5" t="str">
        <f t="shared" si="21"/>
        <v>CTR Onlus CARBONIA11</v>
      </c>
      <c r="B211" s="26" t="s">
        <v>86</v>
      </c>
      <c r="C211" s="26" t="s">
        <v>45</v>
      </c>
      <c r="D211" s="26" t="s">
        <v>122</v>
      </c>
      <c r="E211" s="26">
        <v>11</v>
      </c>
      <c r="F211" s="8">
        <v>7.5018914422396707E-2</v>
      </c>
      <c r="G211" s="27" t="str">
        <f t="shared" si="22"/>
        <v>Sulcis11</v>
      </c>
      <c r="H211" s="28">
        <f t="shared" si="23"/>
        <v>7</v>
      </c>
      <c r="I211" s="28">
        <f t="shared" si="24"/>
        <v>56</v>
      </c>
      <c r="J211" s="8">
        <f t="shared" si="25"/>
        <v>0.875</v>
      </c>
      <c r="K211" s="8">
        <f t="shared" si="26"/>
        <v>0.47500945721119836</v>
      </c>
      <c r="L211" s="29">
        <f t="shared" si="27"/>
        <v>2.9691946191857102E-3</v>
      </c>
      <c r="M211" s="30">
        <f>IF(E211=1,'00-BUDGET'!E$21*L211,'00-BUDGET'!F$21*L211)</f>
        <v>7836.3288340064018</v>
      </c>
      <c r="N211" s="8">
        <f>IF(E211=1,'00-BUDGET'!H$21*L211,'00-BUDGET'!I$21*L211)</f>
        <v>11754.493251009606</v>
      </c>
      <c r="O211" s="8">
        <f>IF(E211=1,'00-BUDGET'!K$21*L211,'00-BUDGET'!L$21*L211)</f>
        <v>15672.657668012811</v>
      </c>
    </row>
    <row r="212" spans="1:15" ht="90" x14ac:dyDescent="0.3">
      <c r="A212" s="5" t="str">
        <f t="shared" si="21"/>
        <v>CTR Onlus Villacidro7</v>
      </c>
      <c r="B212" s="26" t="s">
        <v>102</v>
      </c>
      <c r="C212" s="26" t="s">
        <v>45</v>
      </c>
      <c r="D212" s="26" t="s">
        <v>123</v>
      </c>
      <c r="E212" s="26">
        <v>7</v>
      </c>
      <c r="F212" s="8">
        <v>5.8371702890174099E-2</v>
      </c>
      <c r="G212" s="27" t="str">
        <f t="shared" si="22"/>
        <v>Medio campidano7</v>
      </c>
      <c r="H212" s="28">
        <f t="shared" si="23"/>
        <v>2</v>
      </c>
      <c r="I212" s="28">
        <f t="shared" si="24"/>
        <v>32</v>
      </c>
      <c r="J212" s="8">
        <f t="shared" si="25"/>
        <v>0.9375</v>
      </c>
      <c r="K212" s="8">
        <f t="shared" si="26"/>
        <v>0.49793585144508706</v>
      </c>
      <c r="L212" s="29">
        <f t="shared" si="27"/>
        <v>3.1125031899166002E-3</v>
      </c>
      <c r="M212" s="30">
        <f>IF(E212=1,'00-BUDGET'!E$21*L212,'00-BUDGET'!F$21*L212)</f>
        <v>8214.5502809005429</v>
      </c>
      <c r="N212" s="8">
        <f>IF(E212=1,'00-BUDGET'!H$21*L212,'00-BUDGET'!I$21*L212)</f>
        <v>12321.825421350819</v>
      </c>
      <c r="O212" s="8">
        <f>IF(E212=1,'00-BUDGET'!K$21*L212,'00-BUDGET'!L$21*L212)</f>
        <v>16429.100561801097</v>
      </c>
    </row>
    <row r="213" spans="1:15" ht="90" x14ac:dyDescent="0.3">
      <c r="A213" s="5" t="str">
        <f t="shared" si="21"/>
        <v>CTR Onlus Villacidro8</v>
      </c>
      <c r="B213" s="26" t="s">
        <v>102</v>
      </c>
      <c r="C213" s="26" t="s">
        <v>45</v>
      </c>
      <c r="D213" s="26" t="s">
        <v>123</v>
      </c>
      <c r="E213" s="26">
        <v>8</v>
      </c>
      <c r="F213" s="8">
        <v>5.8371702890174099E-2</v>
      </c>
      <c r="G213" s="27" t="str">
        <f t="shared" si="22"/>
        <v>Medio campidano8</v>
      </c>
      <c r="H213" s="28">
        <f t="shared" si="23"/>
        <v>4</v>
      </c>
      <c r="I213" s="28">
        <f t="shared" si="24"/>
        <v>67</v>
      </c>
      <c r="J213" s="8">
        <f t="shared" si="25"/>
        <v>0.94029850746268662</v>
      </c>
      <c r="K213" s="8">
        <f t="shared" si="26"/>
        <v>0.49933510517643037</v>
      </c>
      <c r="L213" s="29">
        <f t="shared" si="27"/>
        <v>3.1212496613539737E-3</v>
      </c>
      <c r="M213" s="30">
        <f>IF(E213=1,'00-BUDGET'!E$21*L213,'00-BUDGET'!F$21*L213)</f>
        <v>8237.6340578539384</v>
      </c>
      <c r="N213" s="8">
        <f>IF(E213=1,'00-BUDGET'!H$21*L213,'00-BUDGET'!I$21*L213)</f>
        <v>12356.451086780911</v>
      </c>
      <c r="O213" s="8">
        <f>IF(E213=1,'00-BUDGET'!K$21*L213,'00-BUDGET'!L$21*L213)</f>
        <v>16475.268115707884</v>
      </c>
    </row>
    <row r="214" spans="1:15" ht="90" x14ac:dyDescent="0.3">
      <c r="A214" s="5" t="str">
        <f t="shared" si="21"/>
        <v>CTR Onlus Villacidro9</v>
      </c>
      <c r="B214" s="26" t="s">
        <v>102</v>
      </c>
      <c r="C214" s="26" t="s">
        <v>45</v>
      </c>
      <c r="D214" s="26" t="s">
        <v>123</v>
      </c>
      <c r="E214" s="26">
        <v>9</v>
      </c>
      <c r="F214" s="8">
        <v>5.8371702890174099E-2</v>
      </c>
      <c r="G214" s="27" t="str">
        <f t="shared" si="22"/>
        <v>Medio campidano9</v>
      </c>
      <c r="H214" s="28">
        <f t="shared" si="23"/>
        <v>4</v>
      </c>
      <c r="I214" s="28">
        <f t="shared" si="24"/>
        <v>60</v>
      </c>
      <c r="J214" s="8">
        <f t="shared" si="25"/>
        <v>0.93333333333333335</v>
      </c>
      <c r="K214" s="8">
        <f t="shared" si="26"/>
        <v>0.49585251811175374</v>
      </c>
      <c r="L214" s="29">
        <f t="shared" si="27"/>
        <v>3.0994806657765107E-3</v>
      </c>
      <c r="M214" s="30">
        <f>IF(E214=1,'00-BUDGET'!E$21*L214,'00-BUDGET'!F$21*L214)</f>
        <v>8180.181101881044</v>
      </c>
      <c r="N214" s="8">
        <f>IF(E214=1,'00-BUDGET'!H$21*L214,'00-BUDGET'!I$21*L214)</f>
        <v>12270.27165282157</v>
      </c>
      <c r="O214" s="8">
        <f>IF(E214=1,'00-BUDGET'!K$21*L214,'00-BUDGET'!L$21*L214)</f>
        <v>16360.362203762095</v>
      </c>
    </row>
    <row r="215" spans="1:15" ht="90" x14ac:dyDescent="0.3">
      <c r="A215" s="5" t="str">
        <f t="shared" si="21"/>
        <v>CTR Onlus Villacidro10</v>
      </c>
      <c r="B215" s="26" t="s">
        <v>102</v>
      </c>
      <c r="C215" s="26" t="s">
        <v>45</v>
      </c>
      <c r="D215" s="26" t="s">
        <v>123</v>
      </c>
      <c r="E215" s="26">
        <v>10</v>
      </c>
      <c r="F215" s="8">
        <v>5.8371702890174099E-2</v>
      </c>
      <c r="G215" s="27" t="str">
        <f t="shared" si="22"/>
        <v>Medio campidano10</v>
      </c>
      <c r="H215" s="28">
        <f t="shared" si="23"/>
        <v>4</v>
      </c>
      <c r="I215" s="28">
        <f t="shared" si="24"/>
        <v>65</v>
      </c>
      <c r="J215" s="8">
        <f t="shared" si="25"/>
        <v>0.93846153846153846</v>
      </c>
      <c r="K215" s="8">
        <f t="shared" si="26"/>
        <v>0.49841662067585629</v>
      </c>
      <c r="L215" s="29">
        <f t="shared" si="27"/>
        <v>3.115508387795082E-3</v>
      </c>
      <c r="M215" s="30">
        <f>IF(E215=1,'00-BUDGET'!E$21*L215,'00-BUDGET'!F$21*L215)</f>
        <v>8222.4816299050417</v>
      </c>
      <c r="N215" s="8">
        <f>IF(E215=1,'00-BUDGET'!H$21*L215,'00-BUDGET'!I$21*L215)</f>
        <v>12333.722444857567</v>
      </c>
      <c r="O215" s="8">
        <f>IF(E215=1,'00-BUDGET'!K$21*L215,'00-BUDGET'!L$21*L215)</f>
        <v>16444.963259810091</v>
      </c>
    </row>
    <row r="216" spans="1:15" ht="90" x14ac:dyDescent="0.3">
      <c r="A216" s="5" t="str">
        <f t="shared" si="21"/>
        <v>CTR Onlus Villacidro11</v>
      </c>
      <c r="B216" s="26" t="s">
        <v>102</v>
      </c>
      <c r="C216" s="26" t="s">
        <v>45</v>
      </c>
      <c r="D216" s="26" t="s">
        <v>123</v>
      </c>
      <c r="E216" s="26">
        <v>11</v>
      </c>
      <c r="F216" s="8">
        <v>5.8371702890174099E-2</v>
      </c>
      <c r="G216" s="27" t="str">
        <f t="shared" si="22"/>
        <v>Medio campidano11</v>
      </c>
      <c r="H216" s="28">
        <f t="shared" si="23"/>
        <v>4</v>
      </c>
      <c r="I216" s="28">
        <f t="shared" si="24"/>
        <v>56</v>
      </c>
      <c r="J216" s="8">
        <f t="shared" si="25"/>
        <v>0.9285714285714286</v>
      </c>
      <c r="K216" s="8">
        <f t="shared" si="26"/>
        <v>0.49347156573080136</v>
      </c>
      <c r="L216" s="29">
        <f t="shared" si="27"/>
        <v>3.0845977810449801E-3</v>
      </c>
      <c r="M216" s="30">
        <f>IF(E216=1,'00-BUDGET'!E$21*L216,'00-BUDGET'!F$21*L216)</f>
        <v>8140.9020401444741</v>
      </c>
      <c r="N216" s="8">
        <f>IF(E216=1,'00-BUDGET'!H$21*L216,'00-BUDGET'!I$21*L216)</f>
        <v>12211.353060216716</v>
      </c>
      <c r="O216" s="8">
        <f>IF(E216=1,'00-BUDGET'!K$21*L216,'00-BUDGET'!L$21*L216)</f>
        <v>16281.804080288955</v>
      </c>
    </row>
    <row r="217" spans="1:15" x14ac:dyDescent="0.3">
      <c r="A217" s="5" t="str">
        <f t="shared" si="21"/>
        <v>Consalus 7</v>
      </c>
      <c r="B217" s="26" t="s">
        <v>77</v>
      </c>
      <c r="C217" s="26" t="s">
        <v>44</v>
      </c>
      <c r="D217" s="26" t="s">
        <v>124</v>
      </c>
      <c r="E217" s="26">
        <v>7</v>
      </c>
      <c r="F217" s="8">
        <v>0.34343362439390401</v>
      </c>
      <c r="G217" s="27" t="str">
        <f t="shared" si="22"/>
        <v>Cagliari7</v>
      </c>
      <c r="H217" s="28">
        <f t="shared" si="23"/>
        <v>15</v>
      </c>
      <c r="I217" s="28">
        <f t="shared" si="24"/>
        <v>32</v>
      </c>
      <c r="J217" s="8">
        <f t="shared" si="25"/>
        <v>0.53125</v>
      </c>
      <c r="K217" s="8">
        <f t="shared" si="26"/>
        <v>0.43734181219695201</v>
      </c>
      <c r="L217" s="29">
        <f t="shared" si="27"/>
        <v>2.7337412672665076E-3</v>
      </c>
      <c r="M217" s="30">
        <f>IF(E217=1,'00-BUDGET'!E$21*L217,'00-BUDGET'!F$21*L217)</f>
        <v>7214.9179373323695</v>
      </c>
      <c r="N217" s="8">
        <f>IF(E217=1,'00-BUDGET'!H$21*L217,'00-BUDGET'!I$21*L217)</f>
        <v>10822.376905998557</v>
      </c>
      <c r="O217" s="8">
        <f>IF(E217=1,'00-BUDGET'!K$21*L217,'00-BUDGET'!L$21*L217)</f>
        <v>14429.835874664746</v>
      </c>
    </row>
    <row r="218" spans="1:15" x14ac:dyDescent="0.3">
      <c r="A218" s="5" t="str">
        <f t="shared" si="21"/>
        <v>Consalus 8</v>
      </c>
      <c r="B218" s="26" t="s">
        <v>77</v>
      </c>
      <c r="C218" s="26" t="s">
        <v>44</v>
      </c>
      <c r="D218" s="26" t="s">
        <v>124</v>
      </c>
      <c r="E218" s="26">
        <v>8</v>
      </c>
      <c r="F218" s="8">
        <v>0.34343362439390401</v>
      </c>
      <c r="G218" s="27" t="str">
        <f t="shared" si="22"/>
        <v>Cagliari8</v>
      </c>
      <c r="H218" s="28">
        <f t="shared" si="23"/>
        <v>26</v>
      </c>
      <c r="I218" s="28">
        <f t="shared" si="24"/>
        <v>67</v>
      </c>
      <c r="J218" s="8">
        <f t="shared" si="25"/>
        <v>0.61194029850746268</v>
      </c>
      <c r="K218" s="8">
        <f t="shared" si="26"/>
        <v>0.47768696145068335</v>
      </c>
      <c r="L218" s="29">
        <f t="shared" si="27"/>
        <v>2.9859311937107747E-3</v>
      </c>
      <c r="M218" s="30">
        <f>IF(E218=1,'00-BUDGET'!E$21*L218,'00-BUDGET'!F$21*L218)</f>
        <v>7880.5001728219177</v>
      </c>
      <c r="N218" s="8">
        <f>IF(E218=1,'00-BUDGET'!H$21*L218,'00-BUDGET'!I$21*L218)</f>
        <v>11820.75025923288</v>
      </c>
      <c r="O218" s="8">
        <f>IF(E218=1,'00-BUDGET'!K$21*L218,'00-BUDGET'!L$21*L218)</f>
        <v>15761.000345643844</v>
      </c>
    </row>
    <row r="219" spans="1:15" x14ac:dyDescent="0.3">
      <c r="A219" s="5" t="str">
        <f t="shared" si="21"/>
        <v>Consalus 9</v>
      </c>
      <c r="B219" s="26" t="s">
        <v>77</v>
      </c>
      <c r="C219" s="26" t="s">
        <v>44</v>
      </c>
      <c r="D219" s="26" t="s">
        <v>124</v>
      </c>
      <c r="E219" s="26">
        <v>9</v>
      </c>
      <c r="F219" s="8">
        <v>0.34343362439390401</v>
      </c>
      <c r="G219" s="27" t="str">
        <f t="shared" si="22"/>
        <v>Cagliari9</v>
      </c>
      <c r="H219" s="28">
        <f t="shared" si="23"/>
        <v>22</v>
      </c>
      <c r="I219" s="28">
        <f t="shared" si="24"/>
        <v>60</v>
      </c>
      <c r="J219" s="8">
        <f t="shared" si="25"/>
        <v>0.6333333333333333</v>
      </c>
      <c r="K219" s="8">
        <f t="shared" si="26"/>
        <v>0.48838347886361866</v>
      </c>
      <c r="L219" s="29">
        <f t="shared" si="27"/>
        <v>3.0527931086986961E-3</v>
      </c>
      <c r="M219" s="30">
        <f>IF(E219=1,'00-BUDGET'!E$21*L219,'00-BUDGET'!F$21*L219)</f>
        <v>8056.9628233100912</v>
      </c>
      <c r="N219" s="8">
        <f>IF(E219=1,'00-BUDGET'!H$21*L219,'00-BUDGET'!I$21*L219)</f>
        <v>12085.444234965142</v>
      </c>
      <c r="O219" s="8">
        <f>IF(E219=1,'00-BUDGET'!K$21*L219,'00-BUDGET'!L$21*L219)</f>
        <v>16113.925646620191</v>
      </c>
    </row>
    <row r="220" spans="1:15" x14ac:dyDescent="0.3">
      <c r="A220" s="5" t="str">
        <f t="shared" si="21"/>
        <v>Consalus 10</v>
      </c>
      <c r="B220" s="26" t="s">
        <v>77</v>
      </c>
      <c r="C220" s="26" t="s">
        <v>44</v>
      </c>
      <c r="D220" s="26" t="s">
        <v>124</v>
      </c>
      <c r="E220" s="26">
        <v>10</v>
      </c>
      <c r="F220" s="8">
        <v>0.34343362439390401</v>
      </c>
      <c r="G220" s="27" t="str">
        <f t="shared" si="22"/>
        <v>Cagliari10</v>
      </c>
      <c r="H220" s="28">
        <f t="shared" si="23"/>
        <v>26</v>
      </c>
      <c r="I220" s="28">
        <f t="shared" si="24"/>
        <v>65</v>
      </c>
      <c r="J220" s="8">
        <f t="shared" si="25"/>
        <v>0.6</v>
      </c>
      <c r="K220" s="8">
        <f t="shared" si="26"/>
        <v>0.471716812196952</v>
      </c>
      <c r="L220" s="29">
        <f t="shared" si="27"/>
        <v>2.9486129155779812E-3</v>
      </c>
      <c r="M220" s="30">
        <f>IF(E220=1,'00-BUDGET'!E$21*L220,'00-BUDGET'!F$21*L220)</f>
        <v>7782.0093911540998</v>
      </c>
      <c r="N220" s="8">
        <f>IF(E220=1,'00-BUDGET'!H$21*L220,'00-BUDGET'!I$21*L220)</f>
        <v>11673.014086731153</v>
      </c>
      <c r="O220" s="8">
        <f>IF(E220=1,'00-BUDGET'!K$21*L220,'00-BUDGET'!L$21*L220)</f>
        <v>15564.018782308207</v>
      </c>
    </row>
    <row r="221" spans="1:15" x14ac:dyDescent="0.3">
      <c r="A221" s="5" t="str">
        <f t="shared" si="21"/>
        <v>Consalus 11</v>
      </c>
      <c r="B221" s="26" t="s">
        <v>77</v>
      </c>
      <c r="C221" s="26" t="s">
        <v>44</v>
      </c>
      <c r="D221" s="26" t="s">
        <v>124</v>
      </c>
      <c r="E221" s="26">
        <v>11</v>
      </c>
      <c r="F221" s="8">
        <v>0.34343362439390401</v>
      </c>
      <c r="G221" s="27" t="str">
        <f t="shared" si="22"/>
        <v>Cagliari11</v>
      </c>
      <c r="H221" s="28">
        <f t="shared" si="23"/>
        <v>19</v>
      </c>
      <c r="I221" s="28">
        <f t="shared" si="24"/>
        <v>56</v>
      </c>
      <c r="J221" s="8">
        <f t="shared" si="25"/>
        <v>0.6607142857142857</v>
      </c>
      <c r="K221" s="8">
        <f t="shared" si="26"/>
        <v>0.50207395505409491</v>
      </c>
      <c r="L221" s="29">
        <f t="shared" si="27"/>
        <v>3.1383696959049979E-3</v>
      </c>
      <c r="M221" s="30">
        <f>IF(E221=1,'00-BUDGET'!E$21*L221,'00-BUDGET'!F$21*L221)</f>
        <v>8282.8174282953714</v>
      </c>
      <c r="N221" s="8">
        <f>IF(E221=1,'00-BUDGET'!H$21*L221,'00-BUDGET'!I$21*L221)</f>
        <v>12424.22614244306</v>
      </c>
      <c r="O221" s="8">
        <f>IF(E221=1,'00-BUDGET'!K$21*L221,'00-BUDGET'!L$21*L221)</f>
        <v>16565.63485659075</v>
      </c>
    </row>
    <row r="222" spans="1:15" ht="90" x14ac:dyDescent="0.3">
      <c r="A222" s="5" t="str">
        <f t="shared" si="21"/>
        <v>CENTRO “SACRO CUORE” SRL8</v>
      </c>
      <c r="B222" s="26" t="s">
        <v>71</v>
      </c>
      <c r="C222" s="26" t="s">
        <v>32</v>
      </c>
      <c r="D222" s="26" t="s">
        <v>125</v>
      </c>
      <c r="E222" s="26">
        <v>8</v>
      </c>
      <c r="F222" s="8">
        <v>9.6021640241071501E-2</v>
      </c>
      <c r="G222" s="27" t="str">
        <f t="shared" si="22"/>
        <v>Oristano8</v>
      </c>
      <c r="H222" s="28">
        <f t="shared" si="23"/>
        <v>6</v>
      </c>
      <c r="I222" s="28">
        <f t="shared" si="24"/>
        <v>67</v>
      </c>
      <c r="J222" s="8">
        <f t="shared" si="25"/>
        <v>0.91044776119402981</v>
      </c>
      <c r="K222" s="8">
        <f t="shared" si="26"/>
        <v>0.50323470071755061</v>
      </c>
      <c r="L222" s="29">
        <f t="shared" si="27"/>
        <v>3.1456252983479687E-3</v>
      </c>
      <c r="M222" s="30">
        <f>IF(E222=1,'00-BUDGET'!E$21*L222,'00-BUDGET'!F$21*L222)</f>
        <v>8301.9664885370112</v>
      </c>
      <c r="N222" s="8">
        <f>IF(E222=1,'00-BUDGET'!H$21*L222,'00-BUDGET'!I$21*L222)</f>
        <v>12452.94973280552</v>
      </c>
      <c r="O222" s="8">
        <f>IF(E222=1,'00-BUDGET'!K$21*L222,'00-BUDGET'!L$21*L222)</f>
        <v>16603.93297707403</v>
      </c>
    </row>
    <row r="223" spans="1:15" ht="90" x14ac:dyDescent="0.3">
      <c r="A223" s="5" t="str">
        <f t="shared" si="21"/>
        <v>CENTRO “SACRO CUORE” SRL9</v>
      </c>
      <c r="B223" s="26" t="s">
        <v>71</v>
      </c>
      <c r="C223" s="26" t="s">
        <v>32</v>
      </c>
      <c r="D223" s="26" t="s">
        <v>125</v>
      </c>
      <c r="E223" s="26">
        <v>9</v>
      </c>
      <c r="F223" s="8">
        <v>9.6021640241071501E-2</v>
      </c>
      <c r="G223" s="27" t="str">
        <f t="shared" si="22"/>
        <v>Oristano9</v>
      </c>
      <c r="H223" s="28">
        <f t="shared" si="23"/>
        <v>5</v>
      </c>
      <c r="I223" s="28">
        <f t="shared" si="24"/>
        <v>60</v>
      </c>
      <c r="J223" s="8">
        <f t="shared" si="25"/>
        <v>0.91666666666666663</v>
      </c>
      <c r="K223" s="8">
        <f t="shared" si="26"/>
        <v>0.50634415345386907</v>
      </c>
      <c r="L223" s="29">
        <f t="shared" si="27"/>
        <v>3.165061901542132E-3</v>
      </c>
      <c r="M223" s="30">
        <f>IF(E223=1,'00-BUDGET'!E$21*L223,'00-BUDGET'!F$21*L223)</f>
        <v>8353.2637706556652</v>
      </c>
      <c r="N223" s="8">
        <f>IF(E223=1,'00-BUDGET'!H$21*L223,'00-BUDGET'!I$21*L223)</f>
        <v>12529.895655983502</v>
      </c>
      <c r="O223" s="8">
        <f>IF(E223=1,'00-BUDGET'!K$21*L223,'00-BUDGET'!L$21*L223)</f>
        <v>16706.527541311341</v>
      </c>
    </row>
    <row r="224" spans="1:15" ht="90" x14ac:dyDescent="0.3">
      <c r="A224" s="5" t="str">
        <f t="shared" si="21"/>
        <v>CENTRO “SACRO CUORE” SRL10</v>
      </c>
      <c r="B224" s="26" t="s">
        <v>71</v>
      </c>
      <c r="C224" s="26" t="s">
        <v>32</v>
      </c>
      <c r="D224" s="26" t="s">
        <v>125</v>
      </c>
      <c r="E224" s="26">
        <v>10</v>
      </c>
      <c r="F224" s="8">
        <v>9.6021640241071501E-2</v>
      </c>
      <c r="G224" s="27" t="str">
        <f t="shared" si="22"/>
        <v>Oristano10</v>
      </c>
      <c r="H224" s="28">
        <f t="shared" si="23"/>
        <v>5</v>
      </c>
      <c r="I224" s="28">
        <f t="shared" si="24"/>
        <v>65</v>
      </c>
      <c r="J224" s="8">
        <f t="shared" si="25"/>
        <v>0.92307692307692313</v>
      </c>
      <c r="K224" s="8">
        <f t="shared" si="26"/>
        <v>0.50954928165899727</v>
      </c>
      <c r="L224" s="29">
        <f t="shared" si="27"/>
        <v>3.1850965540653467E-3</v>
      </c>
      <c r="M224" s="30">
        <f>IF(E224=1,'00-BUDGET'!E$21*L224,'00-BUDGET'!F$21*L224)</f>
        <v>8406.1394306856655</v>
      </c>
      <c r="N224" s="8">
        <f>IF(E224=1,'00-BUDGET'!H$21*L224,'00-BUDGET'!I$21*L224)</f>
        <v>12609.209146028501</v>
      </c>
      <c r="O224" s="8">
        <f>IF(E224=1,'00-BUDGET'!K$21*L224,'00-BUDGET'!L$21*L224)</f>
        <v>16812.278861371338</v>
      </c>
    </row>
    <row r="225" spans="1:15" ht="90" x14ac:dyDescent="0.3">
      <c r="A225" s="5" t="str">
        <f t="shared" si="21"/>
        <v>CENTRO “SACRO CUORE” SRL11</v>
      </c>
      <c r="B225" s="26" t="s">
        <v>71</v>
      </c>
      <c r="C225" s="26" t="s">
        <v>32</v>
      </c>
      <c r="D225" s="26" t="s">
        <v>125</v>
      </c>
      <c r="E225" s="26">
        <v>11</v>
      </c>
      <c r="F225" s="8">
        <v>9.6021640241071501E-2</v>
      </c>
      <c r="G225" s="27" t="str">
        <f t="shared" si="22"/>
        <v>Oristano11</v>
      </c>
      <c r="H225" s="28">
        <f t="shared" si="23"/>
        <v>4</v>
      </c>
      <c r="I225" s="28">
        <f t="shared" si="24"/>
        <v>56</v>
      </c>
      <c r="J225" s="8">
        <f t="shared" si="25"/>
        <v>0.9285714285714286</v>
      </c>
      <c r="K225" s="8">
        <f t="shared" si="26"/>
        <v>0.51229653440625</v>
      </c>
      <c r="L225" s="29">
        <f t="shared" si="27"/>
        <v>3.2022691133709587E-3</v>
      </c>
      <c r="M225" s="30">
        <f>IF(E225=1,'00-BUDGET'!E$21*L225,'00-BUDGET'!F$21*L225)</f>
        <v>8451.4614249970909</v>
      </c>
      <c r="N225" s="8">
        <f>IF(E225=1,'00-BUDGET'!H$21*L225,'00-BUDGET'!I$21*L225)</f>
        <v>12677.192137495642</v>
      </c>
      <c r="O225" s="8">
        <f>IF(E225=1,'00-BUDGET'!K$21*L225,'00-BUDGET'!L$21*L225)</f>
        <v>16902.922849994193</v>
      </c>
    </row>
    <row r="226" spans="1:15" ht="45" x14ac:dyDescent="0.3">
      <c r="A226" s="5" t="str">
        <f t="shared" si="21"/>
        <v>NUOVO CENTRO FISIOTERAPICO s.r.l.8</v>
      </c>
      <c r="B226" s="26" t="s">
        <v>77</v>
      </c>
      <c r="C226" s="26" t="s">
        <v>50</v>
      </c>
      <c r="D226" s="26" t="s">
        <v>126</v>
      </c>
      <c r="E226" s="26">
        <v>8</v>
      </c>
      <c r="F226" s="8">
        <v>0.34343362439390401</v>
      </c>
      <c r="G226" s="27" t="str">
        <f t="shared" si="22"/>
        <v>Cagliari8</v>
      </c>
      <c r="H226" s="28">
        <f t="shared" si="23"/>
        <v>26</v>
      </c>
      <c r="I226" s="28">
        <f t="shared" si="24"/>
        <v>67</v>
      </c>
      <c r="J226" s="8">
        <f t="shared" si="25"/>
        <v>0.61194029850746268</v>
      </c>
      <c r="K226" s="8">
        <f t="shared" si="26"/>
        <v>0.47768696145068335</v>
      </c>
      <c r="L226" s="29">
        <f t="shared" si="27"/>
        <v>2.9859311937107747E-3</v>
      </c>
      <c r="M226" s="30">
        <f>IF(E226=1,'00-BUDGET'!E$21*L226,'00-BUDGET'!F$21*L226)</f>
        <v>7880.5001728219177</v>
      </c>
      <c r="N226" s="8">
        <f>IF(E226=1,'00-BUDGET'!H$21*L226,'00-BUDGET'!I$21*L226)</f>
        <v>11820.75025923288</v>
      </c>
      <c r="O226" s="8">
        <f>IF(E226=1,'00-BUDGET'!K$21*L226,'00-BUDGET'!L$21*L226)</f>
        <v>15761.000345643844</v>
      </c>
    </row>
    <row r="227" spans="1:15" ht="45" x14ac:dyDescent="0.3">
      <c r="A227" s="5" t="str">
        <f t="shared" si="21"/>
        <v>NUOVO CENTRO FISIOTERAPICO s.r.l.9</v>
      </c>
      <c r="B227" s="26" t="s">
        <v>77</v>
      </c>
      <c r="C227" s="26" t="s">
        <v>50</v>
      </c>
      <c r="D227" s="26" t="s">
        <v>126</v>
      </c>
      <c r="E227" s="26">
        <v>9</v>
      </c>
      <c r="F227" s="8">
        <v>0.34343362439390401</v>
      </c>
      <c r="G227" s="27" t="str">
        <f t="shared" si="22"/>
        <v>Cagliari9</v>
      </c>
      <c r="H227" s="28">
        <f t="shared" si="23"/>
        <v>22</v>
      </c>
      <c r="I227" s="28">
        <f t="shared" si="24"/>
        <v>60</v>
      </c>
      <c r="J227" s="8">
        <f t="shared" si="25"/>
        <v>0.6333333333333333</v>
      </c>
      <c r="K227" s="8">
        <f t="shared" si="26"/>
        <v>0.48838347886361866</v>
      </c>
      <c r="L227" s="29">
        <f t="shared" si="27"/>
        <v>3.0527931086986961E-3</v>
      </c>
      <c r="M227" s="30">
        <f>IF(E227=1,'00-BUDGET'!E$21*L227,'00-BUDGET'!F$21*L227)</f>
        <v>8056.9628233100912</v>
      </c>
      <c r="N227" s="8">
        <f>IF(E227=1,'00-BUDGET'!H$21*L227,'00-BUDGET'!I$21*L227)</f>
        <v>12085.444234965142</v>
      </c>
      <c r="O227" s="8">
        <f>IF(E227=1,'00-BUDGET'!K$21*L227,'00-BUDGET'!L$21*L227)</f>
        <v>16113.925646620191</v>
      </c>
    </row>
    <row r="228" spans="1:15" ht="45" x14ac:dyDescent="0.3">
      <c r="A228" s="5" t="str">
        <f t="shared" si="21"/>
        <v>NUOVO CENTRO FISIOTERAPICO s.r.l.10</v>
      </c>
      <c r="B228" s="26" t="s">
        <v>77</v>
      </c>
      <c r="C228" s="26" t="s">
        <v>50</v>
      </c>
      <c r="D228" s="26" t="s">
        <v>126</v>
      </c>
      <c r="E228" s="26">
        <v>10</v>
      </c>
      <c r="F228" s="8">
        <v>0.34343362439390401</v>
      </c>
      <c r="G228" s="27" t="str">
        <f t="shared" si="22"/>
        <v>Cagliari10</v>
      </c>
      <c r="H228" s="28">
        <f t="shared" si="23"/>
        <v>26</v>
      </c>
      <c r="I228" s="28">
        <f t="shared" si="24"/>
        <v>65</v>
      </c>
      <c r="J228" s="8">
        <f t="shared" si="25"/>
        <v>0.6</v>
      </c>
      <c r="K228" s="8">
        <f t="shared" si="26"/>
        <v>0.471716812196952</v>
      </c>
      <c r="L228" s="29">
        <f t="shared" si="27"/>
        <v>2.9486129155779812E-3</v>
      </c>
      <c r="M228" s="30">
        <f>IF(E228=1,'00-BUDGET'!E$21*L228,'00-BUDGET'!F$21*L228)</f>
        <v>7782.0093911540998</v>
      </c>
      <c r="N228" s="8">
        <f>IF(E228=1,'00-BUDGET'!H$21*L228,'00-BUDGET'!I$21*L228)</f>
        <v>11673.014086731153</v>
      </c>
      <c r="O228" s="8">
        <f>IF(E228=1,'00-BUDGET'!K$21*L228,'00-BUDGET'!L$21*L228)</f>
        <v>15564.018782308207</v>
      </c>
    </row>
    <row r="229" spans="1:15" ht="45" x14ac:dyDescent="0.3">
      <c r="A229" s="5" t="str">
        <f t="shared" si="21"/>
        <v>NUOVO CENTRO FISIOTERAPICO s.r.l.11</v>
      </c>
      <c r="B229" s="26" t="s">
        <v>77</v>
      </c>
      <c r="C229" s="26" t="s">
        <v>50</v>
      </c>
      <c r="D229" s="26" t="s">
        <v>126</v>
      </c>
      <c r="E229" s="26">
        <v>11</v>
      </c>
      <c r="F229" s="8">
        <v>0.34343362439390401</v>
      </c>
      <c r="G229" s="27" t="str">
        <f t="shared" si="22"/>
        <v>Cagliari11</v>
      </c>
      <c r="H229" s="28">
        <f t="shared" si="23"/>
        <v>19</v>
      </c>
      <c r="I229" s="28">
        <f t="shared" si="24"/>
        <v>56</v>
      </c>
      <c r="J229" s="8">
        <f t="shared" si="25"/>
        <v>0.6607142857142857</v>
      </c>
      <c r="K229" s="8">
        <f t="shared" si="26"/>
        <v>0.50207395505409491</v>
      </c>
      <c r="L229" s="29">
        <f t="shared" si="27"/>
        <v>3.1383696959049979E-3</v>
      </c>
      <c r="M229" s="30">
        <f>IF(E229=1,'00-BUDGET'!E$21*L229,'00-BUDGET'!F$21*L229)</f>
        <v>8282.8174282953714</v>
      </c>
      <c r="N229" s="8">
        <f>IF(E229=1,'00-BUDGET'!H$21*L229,'00-BUDGET'!I$21*L229)</f>
        <v>12424.22614244306</v>
      </c>
      <c r="O229" s="8">
        <f>IF(E229=1,'00-BUDGET'!K$21*L229,'00-BUDGET'!L$21*L229)</f>
        <v>16565.63485659075</v>
      </c>
    </row>
    <row r="230" spans="1:15" ht="45" x14ac:dyDescent="0.3">
      <c r="A230" s="5" t="str">
        <f t="shared" si="21"/>
        <v>CENTRO FISIOTERAPICO S.B. SRL Comune di Suni8</v>
      </c>
      <c r="B230" s="26" t="s">
        <v>71</v>
      </c>
      <c r="C230" s="26" t="s">
        <v>37</v>
      </c>
      <c r="D230" s="26" t="s">
        <v>127</v>
      </c>
      <c r="E230" s="26">
        <v>8</v>
      </c>
      <c r="F230" s="8">
        <v>9.6021640241071501E-2</v>
      </c>
      <c r="G230" s="27" t="str">
        <f t="shared" si="22"/>
        <v>Oristano8</v>
      </c>
      <c r="H230" s="28">
        <f t="shared" si="23"/>
        <v>6</v>
      </c>
      <c r="I230" s="28">
        <f t="shared" si="24"/>
        <v>67</v>
      </c>
      <c r="J230" s="8">
        <f t="shared" si="25"/>
        <v>0.91044776119402981</v>
      </c>
      <c r="K230" s="8">
        <f t="shared" si="26"/>
        <v>0.50323470071755061</v>
      </c>
      <c r="L230" s="29">
        <f t="shared" si="27"/>
        <v>3.1456252983479687E-3</v>
      </c>
      <c r="M230" s="30">
        <f>IF(E230=1,'00-BUDGET'!E$21*L230,'00-BUDGET'!F$21*L230)</f>
        <v>8301.9664885370112</v>
      </c>
      <c r="N230" s="8">
        <f>IF(E230=1,'00-BUDGET'!H$21*L230,'00-BUDGET'!I$21*L230)</f>
        <v>12452.94973280552</v>
      </c>
      <c r="O230" s="8">
        <f>IF(E230=1,'00-BUDGET'!K$21*L230,'00-BUDGET'!L$21*L230)</f>
        <v>16603.93297707403</v>
      </c>
    </row>
    <row r="231" spans="1:15" ht="45" x14ac:dyDescent="0.3">
      <c r="A231" s="5" t="str">
        <f t="shared" si="21"/>
        <v>CENTRO FISIOTERAPICO S.B. SRL Comune di Suni10</v>
      </c>
      <c r="B231" s="26" t="s">
        <v>71</v>
      </c>
      <c r="C231" s="26" t="s">
        <v>37</v>
      </c>
      <c r="D231" s="26" t="s">
        <v>127</v>
      </c>
      <c r="E231" s="26">
        <v>10</v>
      </c>
      <c r="F231" s="8">
        <v>9.6021640241071501E-2</v>
      </c>
      <c r="G231" s="27" t="str">
        <f t="shared" si="22"/>
        <v>Oristano10</v>
      </c>
      <c r="H231" s="28">
        <f t="shared" si="23"/>
        <v>5</v>
      </c>
      <c r="I231" s="28">
        <f t="shared" si="24"/>
        <v>65</v>
      </c>
      <c r="J231" s="8">
        <f t="shared" si="25"/>
        <v>0.92307692307692313</v>
      </c>
      <c r="K231" s="8">
        <f t="shared" si="26"/>
        <v>0.50954928165899727</v>
      </c>
      <c r="L231" s="29">
        <f t="shared" si="27"/>
        <v>3.1850965540653467E-3</v>
      </c>
      <c r="M231" s="30">
        <f>IF(E231=1,'00-BUDGET'!E$21*L231,'00-BUDGET'!F$21*L231)</f>
        <v>8406.1394306856655</v>
      </c>
      <c r="N231" s="8">
        <f>IF(E231=1,'00-BUDGET'!H$21*L231,'00-BUDGET'!I$21*L231)</f>
        <v>12609.209146028501</v>
      </c>
      <c r="O231" s="8">
        <f>IF(E231=1,'00-BUDGET'!K$21*L231,'00-BUDGET'!L$21*L231)</f>
        <v>16812.278861371338</v>
      </c>
    </row>
    <row r="232" spans="1:15" ht="45" x14ac:dyDescent="0.3">
      <c r="A232" s="5" t="str">
        <f t="shared" si="21"/>
        <v>CENTRO FKT Mele La Maddalena8</v>
      </c>
      <c r="B232" s="26" t="s">
        <v>79</v>
      </c>
      <c r="C232" s="26" t="s">
        <v>36</v>
      </c>
      <c r="D232" s="26" t="s">
        <v>128</v>
      </c>
      <c r="E232" s="26">
        <v>8</v>
      </c>
      <c r="F232" s="8">
        <v>9.9672234005895102E-2</v>
      </c>
      <c r="G232" s="27" t="str">
        <f t="shared" si="22"/>
        <v>Gallura8</v>
      </c>
      <c r="H232" s="28">
        <f t="shared" si="23"/>
        <v>9</v>
      </c>
      <c r="I232" s="28">
        <f t="shared" si="24"/>
        <v>67</v>
      </c>
      <c r="J232" s="8">
        <f t="shared" si="25"/>
        <v>0.86567164179104483</v>
      </c>
      <c r="K232" s="8">
        <f t="shared" si="26"/>
        <v>0.48267193789846996</v>
      </c>
      <c r="L232" s="29">
        <f t="shared" si="27"/>
        <v>3.0170913422527322E-3</v>
      </c>
      <c r="M232" s="30">
        <f>IF(E232=1,'00-BUDGET'!E$21*L232,'00-BUDGET'!F$21*L232)</f>
        <v>7962.7383558340607</v>
      </c>
      <c r="N232" s="8">
        <f>IF(E232=1,'00-BUDGET'!H$21*L232,'00-BUDGET'!I$21*L232)</f>
        <v>11944.107533751096</v>
      </c>
      <c r="O232" s="8">
        <f>IF(E232=1,'00-BUDGET'!K$21*L232,'00-BUDGET'!L$21*L232)</f>
        <v>15925.476711668129</v>
      </c>
    </row>
    <row r="233" spans="1:15" ht="45" x14ac:dyDescent="0.3">
      <c r="A233" s="5" t="str">
        <f t="shared" si="21"/>
        <v>CENTRO FKT Mele La Maddalena10</v>
      </c>
      <c r="B233" s="26" t="s">
        <v>79</v>
      </c>
      <c r="C233" s="26" t="s">
        <v>36</v>
      </c>
      <c r="D233" s="26" t="s">
        <v>128</v>
      </c>
      <c r="E233" s="26">
        <v>10</v>
      </c>
      <c r="F233" s="8">
        <v>9.9672234005895102E-2</v>
      </c>
      <c r="G233" s="27" t="str">
        <f t="shared" si="22"/>
        <v>Gallura10</v>
      </c>
      <c r="H233" s="28">
        <f t="shared" si="23"/>
        <v>9</v>
      </c>
      <c r="I233" s="28">
        <f t="shared" si="24"/>
        <v>65</v>
      </c>
      <c r="J233" s="8">
        <f t="shared" si="25"/>
        <v>0.86153846153846159</v>
      </c>
      <c r="K233" s="8">
        <f t="shared" si="26"/>
        <v>0.48060534777217834</v>
      </c>
      <c r="L233" s="29">
        <f t="shared" si="27"/>
        <v>3.0041734767452268E-3</v>
      </c>
      <c r="M233" s="30">
        <f>IF(E233=1,'00-BUDGET'!E$21*L233,'00-BUDGET'!F$21*L233)</f>
        <v>7928.6453929490472</v>
      </c>
      <c r="N233" s="8">
        <f>IF(E233=1,'00-BUDGET'!H$21*L233,'00-BUDGET'!I$21*L233)</f>
        <v>11892.968089423573</v>
      </c>
      <c r="O233" s="8">
        <f>IF(E233=1,'00-BUDGET'!K$21*L233,'00-BUDGET'!L$21*L233)</f>
        <v>15857.290785898102</v>
      </c>
    </row>
    <row r="234" spans="1:15" ht="45" x14ac:dyDescent="0.3">
      <c r="A234" s="5" t="str">
        <f t="shared" si="21"/>
        <v>CENTRO FKT Mele Budoni8</v>
      </c>
      <c r="B234" s="26" t="s">
        <v>79</v>
      </c>
      <c r="C234" s="26" t="s">
        <v>36</v>
      </c>
      <c r="D234" s="26" t="s">
        <v>129</v>
      </c>
      <c r="E234" s="26">
        <v>8</v>
      </c>
      <c r="F234" s="8">
        <v>9.9672234005895102E-2</v>
      </c>
      <c r="G234" s="27" t="str">
        <f t="shared" si="22"/>
        <v>Gallura8</v>
      </c>
      <c r="H234" s="28">
        <f t="shared" si="23"/>
        <v>9</v>
      </c>
      <c r="I234" s="28">
        <f t="shared" si="24"/>
        <v>67</v>
      </c>
      <c r="J234" s="8">
        <f t="shared" si="25"/>
        <v>0.86567164179104483</v>
      </c>
      <c r="K234" s="8">
        <f t="shared" si="26"/>
        <v>0.48267193789846996</v>
      </c>
      <c r="L234" s="29">
        <f t="shared" si="27"/>
        <v>3.0170913422527322E-3</v>
      </c>
      <c r="M234" s="30">
        <f>IF(E234=1,'00-BUDGET'!E$21*L234,'00-BUDGET'!F$21*L234)</f>
        <v>7962.7383558340607</v>
      </c>
      <c r="N234" s="8">
        <f>IF(E234=1,'00-BUDGET'!H$21*L234,'00-BUDGET'!I$21*L234)</f>
        <v>11944.107533751096</v>
      </c>
      <c r="O234" s="8">
        <f>IF(E234=1,'00-BUDGET'!K$21*L234,'00-BUDGET'!L$21*L234)</f>
        <v>15925.476711668129</v>
      </c>
    </row>
    <row r="235" spans="1:15" ht="45" x14ac:dyDescent="0.3">
      <c r="A235" s="5" t="str">
        <f t="shared" si="21"/>
        <v>CENTRO FKT Mele Budoni9</v>
      </c>
      <c r="B235" s="26" t="s">
        <v>79</v>
      </c>
      <c r="C235" s="26" t="s">
        <v>36</v>
      </c>
      <c r="D235" s="26" t="s">
        <v>129</v>
      </c>
      <c r="E235" s="26">
        <v>9</v>
      </c>
      <c r="F235" s="8">
        <v>9.9672234005895102E-2</v>
      </c>
      <c r="G235" s="27" t="str">
        <f t="shared" si="22"/>
        <v>Gallura9</v>
      </c>
      <c r="H235" s="28">
        <f t="shared" si="23"/>
        <v>8</v>
      </c>
      <c r="I235" s="28">
        <f t="shared" si="24"/>
        <v>60</v>
      </c>
      <c r="J235" s="8">
        <f t="shared" si="25"/>
        <v>0.8666666666666667</v>
      </c>
      <c r="K235" s="8">
        <f t="shared" si="26"/>
        <v>0.48316945033628089</v>
      </c>
      <c r="L235" s="29">
        <f t="shared" si="27"/>
        <v>3.0202011987637981E-3</v>
      </c>
      <c r="M235" s="30">
        <f>IF(E235=1,'00-BUDGET'!E$21*L235,'00-BUDGET'!F$21*L235)</f>
        <v>7970.9459209730448</v>
      </c>
      <c r="N235" s="8">
        <f>IF(E235=1,'00-BUDGET'!H$21*L235,'00-BUDGET'!I$21*L235)</f>
        <v>11956.418881459571</v>
      </c>
      <c r="O235" s="8">
        <f>IF(E235=1,'00-BUDGET'!K$21*L235,'00-BUDGET'!L$21*L235)</f>
        <v>15941.891841946099</v>
      </c>
    </row>
    <row r="236" spans="1:15" ht="45" x14ac:dyDescent="0.3">
      <c r="A236" s="5" t="str">
        <f t="shared" si="21"/>
        <v>CENTRO FKT Mele Budoni10</v>
      </c>
      <c r="B236" s="26" t="s">
        <v>79</v>
      </c>
      <c r="C236" s="26" t="s">
        <v>36</v>
      </c>
      <c r="D236" s="26" t="s">
        <v>129</v>
      </c>
      <c r="E236" s="26">
        <v>10</v>
      </c>
      <c r="F236" s="8">
        <v>9.9672234005895102E-2</v>
      </c>
      <c r="G236" s="27" t="str">
        <f t="shared" si="22"/>
        <v>Gallura10</v>
      </c>
      <c r="H236" s="28">
        <f t="shared" si="23"/>
        <v>9</v>
      </c>
      <c r="I236" s="28">
        <f t="shared" si="24"/>
        <v>65</v>
      </c>
      <c r="J236" s="8">
        <f t="shared" si="25"/>
        <v>0.86153846153846159</v>
      </c>
      <c r="K236" s="8">
        <f t="shared" si="26"/>
        <v>0.48060534777217834</v>
      </c>
      <c r="L236" s="29">
        <f t="shared" si="27"/>
        <v>3.0041734767452268E-3</v>
      </c>
      <c r="M236" s="30">
        <f>IF(E236=1,'00-BUDGET'!E$21*L236,'00-BUDGET'!F$21*L236)</f>
        <v>7928.6453929490472</v>
      </c>
      <c r="N236" s="8">
        <f>IF(E236=1,'00-BUDGET'!H$21*L236,'00-BUDGET'!I$21*L236)</f>
        <v>11892.968089423573</v>
      </c>
      <c r="O236" s="8">
        <f>IF(E236=1,'00-BUDGET'!K$21*L236,'00-BUDGET'!L$21*L236)</f>
        <v>15857.290785898102</v>
      </c>
    </row>
    <row r="237" spans="1:15" ht="45" x14ac:dyDescent="0.3">
      <c r="A237" s="5" t="str">
        <f t="shared" si="21"/>
        <v>CENTRO FKT Mele Budoni11</v>
      </c>
      <c r="B237" s="26" t="s">
        <v>79</v>
      </c>
      <c r="C237" s="26" t="s">
        <v>36</v>
      </c>
      <c r="D237" s="26" t="s">
        <v>129</v>
      </c>
      <c r="E237" s="26">
        <v>11</v>
      </c>
      <c r="F237" s="8">
        <v>9.9672234005895102E-2</v>
      </c>
      <c r="G237" s="27" t="str">
        <f t="shared" si="22"/>
        <v>Gallura11</v>
      </c>
      <c r="H237" s="28">
        <f t="shared" si="23"/>
        <v>8</v>
      </c>
      <c r="I237" s="28">
        <f t="shared" si="24"/>
        <v>56</v>
      </c>
      <c r="J237" s="8">
        <f t="shared" si="25"/>
        <v>0.85714285714285721</v>
      </c>
      <c r="K237" s="8">
        <f t="shared" si="26"/>
        <v>0.47840754557437615</v>
      </c>
      <c r="L237" s="29">
        <f t="shared" si="27"/>
        <v>2.9904354293007369E-3</v>
      </c>
      <c r="M237" s="30">
        <f>IF(E237=1,'00-BUDGET'!E$21*L237,'00-BUDGET'!F$21*L237)</f>
        <v>7892.387797499905</v>
      </c>
      <c r="N237" s="8">
        <f>IF(E237=1,'00-BUDGET'!H$21*L237,'00-BUDGET'!I$21*L237)</f>
        <v>11838.581696249861</v>
      </c>
      <c r="O237" s="8">
        <f>IF(E237=1,'00-BUDGET'!K$21*L237,'00-BUDGET'!L$21*L237)</f>
        <v>15784.775594999819</v>
      </c>
    </row>
    <row r="238" spans="1:15" ht="45" x14ac:dyDescent="0.3">
      <c r="A238" s="5" t="str">
        <f t="shared" si="21"/>
        <v>CENTRO FKT Mele Centro Diurno Olbia4</v>
      </c>
      <c r="B238" s="26" t="s">
        <v>79</v>
      </c>
      <c r="C238" s="26" t="s">
        <v>36</v>
      </c>
      <c r="D238" s="26" t="s">
        <v>130</v>
      </c>
      <c r="E238" s="26">
        <v>4</v>
      </c>
      <c r="F238" s="8">
        <v>9.9672234005895102E-2</v>
      </c>
      <c r="G238" s="27" t="str">
        <f t="shared" si="22"/>
        <v>Gallura4</v>
      </c>
      <c r="H238" s="28">
        <f t="shared" si="23"/>
        <v>1</v>
      </c>
      <c r="I238" s="28">
        <f t="shared" si="24"/>
        <v>6</v>
      </c>
      <c r="J238" s="8">
        <f t="shared" si="25"/>
        <v>0.83333333333333337</v>
      </c>
      <c r="K238" s="8">
        <f t="shared" si="26"/>
        <v>0.46650278366961423</v>
      </c>
      <c r="L238" s="29">
        <f t="shared" si="27"/>
        <v>2.9160210056430836E-3</v>
      </c>
      <c r="M238" s="30">
        <f>IF(E238=1,'00-BUDGET'!E$21*L238,'00-BUDGET'!F$21*L238)</f>
        <v>7695.9924888170544</v>
      </c>
      <c r="N238" s="8">
        <f>IF(E238=1,'00-BUDGET'!H$21*L238,'00-BUDGET'!I$21*L238)</f>
        <v>11543.988733225586</v>
      </c>
      <c r="O238" s="8">
        <f>IF(E238=1,'00-BUDGET'!K$21*L238,'00-BUDGET'!L$21*L238)</f>
        <v>15391.984977634116</v>
      </c>
    </row>
    <row r="239" spans="1:15" ht="90" x14ac:dyDescent="0.3">
      <c r="A239" s="5" t="str">
        <f t="shared" si="21"/>
        <v>CENTRO MEDICO RI.ME.T. S.R.L. - CENTRO DI RIABILITAZIONE MEDICA TERRALBA8</v>
      </c>
      <c r="B239" s="26" t="s">
        <v>71</v>
      </c>
      <c r="C239" s="26" t="s">
        <v>39</v>
      </c>
      <c r="D239" s="26" t="s">
        <v>131</v>
      </c>
      <c r="E239" s="26">
        <v>8</v>
      </c>
      <c r="F239" s="8">
        <v>9.6021640241071501E-2</v>
      </c>
      <c r="G239" s="27" t="str">
        <f t="shared" si="22"/>
        <v>Oristano8</v>
      </c>
      <c r="H239" s="28">
        <f t="shared" si="23"/>
        <v>6</v>
      </c>
      <c r="I239" s="28">
        <f t="shared" si="24"/>
        <v>67</v>
      </c>
      <c r="J239" s="8">
        <f t="shared" si="25"/>
        <v>0.91044776119402981</v>
      </c>
      <c r="K239" s="8">
        <f t="shared" si="26"/>
        <v>0.50323470071755061</v>
      </c>
      <c r="L239" s="29">
        <f t="shared" si="27"/>
        <v>3.1456252983479687E-3</v>
      </c>
      <c r="M239" s="30">
        <f>IF(E239=1,'00-BUDGET'!E$21*L239,'00-BUDGET'!F$21*L239)</f>
        <v>8301.9664885370112</v>
      </c>
      <c r="N239" s="8">
        <f>IF(E239=1,'00-BUDGET'!H$21*L239,'00-BUDGET'!I$21*L239)</f>
        <v>12452.94973280552</v>
      </c>
      <c r="O239" s="8">
        <f>IF(E239=1,'00-BUDGET'!K$21*L239,'00-BUDGET'!L$21*L239)</f>
        <v>16603.93297707403</v>
      </c>
    </row>
    <row r="240" spans="1:15" ht="90" x14ac:dyDescent="0.3">
      <c r="A240" s="5" t="str">
        <f t="shared" si="21"/>
        <v>CENTRO MEDICO RI.ME.T. S.R.L. - CENTRO DI RIABILITAZIONE MEDICA TERRALBA9</v>
      </c>
      <c r="B240" s="26" t="s">
        <v>71</v>
      </c>
      <c r="C240" s="26" t="s">
        <v>39</v>
      </c>
      <c r="D240" s="26" t="s">
        <v>131</v>
      </c>
      <c r="E240" s="26">
        <v>9</v>
      </c>
      <c r="F240" s="8">
        <v>9.6021640241071501E-2</v>
      </c>
      <c r="G240" s="27" t="str">
        <f t="shared" si="22"/>
        <v>Oristano9</v>
      </c>
      <c r="H240" s="28">
        <f t="shared" si="23"/>
        <v>5</v>
      </c>
      <c r="I240" s="28">
        <f t="shared" si="24"/>
        <v>60</v>
      </c>
      <c r="J240" s="8">
        <f t="shared" si="25"/>
        <v>0.91666666666666663</v>
      </c>
      <c r="K240" s="8">
        <f t="shared" si="26"/>
        <v>0.50634415345386907</v>
      </c>
      <c r="L240" s="29">
        <f t="shared" si="27"/>
        <v>3.165061901542132E-3</v>
      </c>
      <c r="M240" s="30">
        <f>IF(E240=1,'00-BUDGET'!E$21*L240,'00-BUDGET'!F$21*L240)</f>
        <v>8353.2637706556652</v>
      </c>
      <c r="N240" s="8">
        <f>IF(E240=1,'00-BUDGET'!H$21*L240,'00-BUDGET'!I$21*L240)</f>
        <v>12529.895655983502</v>
      </c>
      <c r="O240" s="8">
        <f>IF(E240=1,'00-BUDGET'!K$21*L240,'00-BUDGET'!L$21*L240)</f>
        <v>16706.527541311341</v>
      </c>
    </row>
    <row r="241" spans="1:15" ht="90" x14ac:dyDescent="0.3">
      <c r="A241" s="5" t="str">
        <f t="shared" si="21"/>
        <v>CENTRO MEDICO RI.ME.T. S.R.L. - CENTRO DI RIABILITAZIONE MEDICA TERRALBA10</v>
      </c>
      <c r="B241" s="26" t="s">
        <v>71</v>
      </c>
      <c r="C241" s="26" t="s">
        <v>39</v>
      </c>
      <c r="D241" s="26" t="s">
        <v>131</v>
      </c>
      <c r="E241" s="26">
        <v>10</v>
      </c>
      <c r="F241" s="8">
        <v>9.6021640241071501E-2</v>
      </c>
      <c r="G241" s="27" t="str">
        <f t="shared" si="22"/>
        <v>Oristano10</v>
      </c>
      <c r="H241" s="28">
        <f t="shared" si="23"/>
        <v>5</v>
      </c>
      <c r="I241" s="28">
        <f t="shared" si="24"/>
        <v>65</v>
      </c>
      <c r="J241" s="8">
        <f t="shared" si="25"/>
        <v>0.92307692307692313</v>
      </c>
      <c r="K241" s="8">
        <f t="shared" si="26"/>
        <v>0.50954928165899727</v>
      </c>
      <c r="L241" s="29">
        <f t="shared" si="27"/>
        <v>3.1850965540653467E-3</v>
      </c>
      <c r="M241" s="30">
        <f>IF(E241=1,'00-BUDGET'!E$21*L241,'00-BUDGET'!F$21*L241)</f>
        <v>8406.1394306856655</v>
      </c>
      <c r="N241" s="8">
        <f>IF(E241=1,'00-BUDGET'!H$21*L241,'00-BUDGET'!I$21*L241)</f>
        <v>12609.209146028501</v>
      </c>
      <c r="O241" s="8">
        <f>IF(E241=1,'00-BUDGET'!K$21*L241,'00-BUDGET'!L$21*L241)</f>
        <v>16812.278861371338</v>
      </c>
    </row>
    <row r="242" spans="1:15" ht="90" x14ac:dyDescent="0.3">
      <c r="A242" s="5" t="str">
        <f t="shared" si="21"/>
        <v>CENTRO MEDICO RI.ME.T. S.R.L. - CENTRO DI RIABILITAZIONE MEDICA TERRALBA11</v>
      </c>
      <c r="B242" s="26" t="s">
        <v>71</v>
      </c>
      <c r="C242" s="26" t="s">
        <v>39</v>
      </c>
      <c r="D242" s="26" t="s">
        <v>131</v>
      </c>
      <c r="E242" s="26">
        <v>11</v>
      </c>
      <c r="F242" s="8">
        <v>9.6021640241071501E-2</v>
      </c>
      <c r="G242" s="27" t="str">
        <f t="shared" si="22"/>
        <v>Oristano11</v>
      </c>
      <c r="H242" s="28">
        <f t="shared" si="23"/>
        <v>4</v>
      </c>
      <c r="I242" s="28">
        <f t="shared" si="24"/>
        <v>56</v>
      </c>
      <c r="J242" s="8">
        <f t="shared" si="25"/>
        <v>0.9285714285714286</v>
      </c>
      <c r="K242" s="8">
        <f t="shared" si="26"/>
        <v>0.51229653440625</v>
      </c>
      <c r="L242" s="29">
        <f t="shared" si="27"/>
        <v>3.2022691133709587E-3</v>
      </c>
      <c r="M242" s="30">
        <f>IF(E242=1,'00-BUDGET'!E$21*L242,'00-BUDGET'!F$21*L242)</f>
        <v>8451.4614249970909</v>
      </c>
      <c r="N242" s="8">
        <f>IF(E242=1,'00-BUDGET'!H$21*L242,'00-BUDGET'!I$21*L242)</f>
        <v>12677.192137495642</v>
      </c>
      <c r="O242" s="8">
        <f>IF(E242=1,'00-BUDGET'!K$21*L242,'00-BUDGET'!L$21*L242)</f>
        <v>16902.922849994193</v>
      </c>
    </row>
    <row r="243" spans="1:15" ht="75" x14ac:dyDescent="0.3">
      <c r="A243" s="5" t="str">
        <f t="shared" si="21"/>
        <v>Centro RNM – Riabilitazione Neuro-psico Motoria8</v>
      </c>
      <c r="B243" s="26" t="s">
        <v>81</v>
      </c>
      <c r="C243" s="26" t="s">
        <v>34</v>
      </c>
      <c r="D243" s="26" t="s">
        <v>132</v>
      </c>
      <c r="E243" s="26">
        <v>8</v>
      </c>
      <c r="F243" s="8">
        <v>0.20051177607843701</v>
      </c>
      <c r="G243" s="27" t="str">
        <f t="shared" si="22"/>
        <v>Sassari8</v>
      </c>
      <c r="H243" s="28">
        <f t="shared" si="23"/>
        <v>6</v>
      </c>
      <c r="I243" s="28">
        <f t="shared" si="24"/>
        <v>67</v>
      </c>
      <c r="J243" s="8">
        <f t="shared" si="25"/>
        <v>0.91044776119402981</v>
      </c>
      <c r="K243" s="8">
        <f t="shared" si="26"/>
        <v>0.55547976863623338</v>
      </c>
      <c r="L243" s="29">
        <f t="shared" si="27"/>
        <v>3.4721993742703621E-3</v>
      </c>
      <c r="M243" s="30">
        <f>IF(E243=1,'00-BUDGET'!E$21*L243,'00-BUDGET'!F$21*L243)</f>
        <v>9163.8641327848909</v>
      </c>
      <c r="N243" s="8">
        <f>IF(E243=1,'00-BUDGET'!H$21*L243,'00-BUDGET'!I$21*L243)</f>
        <v>13745.796199177341</v>
      </c>
      <c r="O243" s="8">
        <f>IF(E243=1,'00-BUDGET'!K$21*L243,'00-BUDGET'!L$21*L243)</f>
        <v>18327.728265569793</v>
      </c>
    </row>
    <row r="244" spans="1:15" ht="75" x14ac:dyDescent="0.3">
      <c r="A244" s="5" t="str">
        <f t="shared" si="21"/>
        <v>Centro RNM – Riabilitazione Neuro-psico Motoria9</v>
      </c>
      <c r="B244" s="26" t="s">
        <v>81</v>
      </c>
      <c r="C244" s="26" t="s">
        <v>34</v>
      </c>
      <c r="D244" s="26" t="s">
        <v>132</v>
      </c>
      <c r="E244" s="26">
        <v>9</v>
      </c>
      <c r="F244" s="8">
        <v>0.20051177607843701</v>
      </c>
      <c r="G244" s="27" t="str">
        <f t="shared" si="22"/>
        <v>Sassari9</v>
      </c>
      <c r="H244" s="28">
        <f t="shared" si="23"/>
        <v>6</v>
      </c>
      <c r="I244" s="28">
        <f t="shared" si="24"/>
        <v>60</v>
      </c>
      <c r="J244" s="8">
        <f t="shared" si="25"/>
        <v>0.9</v>
      </c>
      <c r="K244" s="8">
        <f t="shared" si="26"/>
        <v>0.55025588803921854</v>
      </c>
      <c r="L244" s="29">
        <f t="shared" si="27"/>
        <v>3.4395458809041686E-3</v>
      </c>
      <c r="M244" s="30">
        <f>IF(E244=1,'00-BUDGET'!E$21*L244,'00-BUDGET'!F$21*L244)</f>
        <v>9077.6846988255529</v>
      </c>
      <c r="N244" s="8">
        <f>IF(E244=1,'00-BUDGET'!H$21*L244,'00-BUDGET'!I$21*L244)</f>
        <v>13616.527048238333</v>
      </c>
      <c r="O244" s="8">
        <f>IF(E244=1,'00-BUDGET'!K$21*L244,'00-BUDGET'!L$21*L244)</f>
        <v>18155.369397651113</v>
      </c>
    </row>
    <row r="245" spans="1:15" ht="75" x14ac:dyDescent="0.3">
      <c r="A245" s="5" t="str">
        <f t="shared" si="21"/>
        <v>Centro RNM – Riabilitazione Neuro-psico Motoria10</v>
      </c>
      <c r="B245" s="26" t="s">
        <v>81</v>
      </c>
      <c r="C245" s="26" t="s">
        <v>34</v>
      </c>
      <c r="D245" s="26" t="s">
        <v>132</v>
      </c>
      <c r="E245" s="26">
        <v>10</v>
      </c>
      <c r="F245" s="8">
        <v>0.20051177607843701</v>
      </c>
      <c r="G245" s="27" t="str">
        <f t="shared" si="22"/>
        <v>Sassari10</v>
      </c>
      <c r="H245" s="28">
        <f t="shared" si="23"/>
        <v>6</v>
      </c>
      <c r="I245" s="28">
        <f t="shared" si="24"/>
        <v>65</v>
      </c>
      <c r="J245" s="8">
        <f t="shared" si="25"/>
        <v>0.90769230769230769</v>
      </c>
      <c r="K245" s="8">
        <f t="shared" si="26"/>
        <v>0.55410204188537238</v>
      </c>
      <c r="L245" s="29">
        <f t="shared" si="27"/>
        <v>3.4635874639320258E-3</v>
      </c>
      <c r="M245" s="30">
        <f>IF(E245=1,'00-BUDGET'!E$21*L245,'00-BUDGET'!F$21*L245)</f>
        <v>9141.1354908615504</v>
      </c>
      <c r="N245" s="8">
        <f>IF(E245=1,'00-BUDGET'!H$21*L245,'00-BUDGET'!I$21*L245)</f>
        <v>13711.703236292331</v>
      </c>
      <c r="O245" s="8">
        <f>IF(E245=1,'00-BUDGET'!K$21*L245,'00-BUDGET'!L$21*L245)</f>
        <v>18282.270981723112</v>
      </c>
    </row>
    <row r="246" spans="1:15" ht="75" x14ac:dyDescent="0.3">
      <c r="A246" s="5" t="str">
        <f t="shared" si="21"/>
        <v>Centro RNM – Riabilitazione Neuro-psico Motoria11</v>
      </c>
      <c r="B246" s="26" t="s">
        <v>81</v>
      </c>
      <c r="C246" s="26" t="s">
        <v>34</v>
      </c>
      <c r="D246" s="26" t="s">
        <v>132</v>
      </c>
      <c r="E246" s="26">
        <v>11</v>
      </c>
      <c r="F246" s="8">
        <v>0.20051177607843701</v>
      </c>
      <c r="G246" s="27" t="str">
        <f t="shared" si="22"/>
        <v>Sassari11</v>
      </c>
      <c r="H246" s="28">
        <f t="shared" si="23"/>
        <v>6</v>
      </c>
      <c r="I246" s="28">
        <f t="shared" si="24"/>
        <v>56</v>
      </c>
      <c r="J246" s="8">
        <f t="shared" si="25"/>
        <v>0.8928571428571429</v>
      </c>
      <c r="K246" s="8">
        <f t="shared" si="26"/>
        <v>0.54668445946778998</v>
      </c>
      <c r="L246" s="29">
        <f t="shared" si="27"/>
        <v>3.4172215538068726E-3</v>
      </c>
      <c r="M246" s="30">
        <f>IF(E246=1,'00-BUDGET'!E$21*L246,'00-BUDGET'!F$21*L246)</f>
        <v>9018.7661062206971</v>
      </c>
      <c r="N246" s="8">
        <f>IF(E246=1,'00-BUDGET'!H$21*L246,'00-BUDGET'!I$21*L246)</f>
        <v>13528.149159331051</v>
      </c>
      <c r="O246" s="8">
        <f>IF(E246=1,'00-BUDGET'!K$21*L246,'00-BUDGET'!L$21*L246)</f>
        <v>18037.532212441405</v>
      </c>
    </row>
    <row r="247" spans="1:15" ht="30" x14ac:dyDescent="0.3">
      <c r="A247" s="5" t="str">
        <f t="shared" si="21"/>
        <v>Centro San Biagio Srl7</v>
      </c>
      <c r="B247" s="26" t="s">
        <v>77</v>
      </c>
      <c r="C247" s="26" t="s">
        <v>42</v>
      </c>
      <c r="D247" s="26" t="s">
        <v>133</v>
      </c>
      <c r="E247" s="26">
        <v>7</v>
      </c>
      <c r="F247" s="8">
        <v>0.34343362439390401</v>
      </c>
      <c r="G247" s="27" t="str">
        <f t="shared" si="22"/>
        <v>Cagliari7</v>
      </c>
      <c r="H247" s="28">
        <f t="shared" si="23"/>
        <v>15</v>
      </c>
      <c r="I247" s="28">
        <f t="shared" si="24"/>
        <v>32</v>
      </c>
      <c r="J247" s="8">
        <f t="shared" si="25"/>
        <v>0.53125</v>
      </c>
      <c r="K247" s="8">
        <f t="shared" si="26"/>
        <v>0.43734181219695201</v>
      </c>
      <c r="L247" s="29">
        <f t="shared" si="27"/>
        <v>2.7337412672665076E-3</v>
      </c>
      <c r="M247" s="30">
        <f>IF(E247=1,'00-BUDGET'!E$21*L247,'00-BUDGET'!F$21*L247)</f>
        <v>7214.9179373323695</v>
      </c>
      <c r="N247" s="8">
        <f>IF(E247=1,'00-BUDGET'!H$21*L247,'00-BUDGET'!I$21*L247)</f>
        <v>10822.376905998557</v>
      </c>
      <c r="O247" s="8">
        <f>IF(E247=1,'00-BUDGET'!K$21*L247,'00-BUDGET'!L$21*L247)</f>
        <v>14429.835874664746</v>
      </c>
    </row>
    <row r="248" spans="1:15" ht="30" x14ac:dyDescent="0.3">
      <c r="A248" s="5" t="str">
        <f t="shared" si="21"/>
        <v>Centro San Biagio Srl8</v>
      </c>
      <c r="B248" s="26" t="s">
        <v>77</v>
      </c>
      <c r="C248" s="26" t="s">
        <v>42</v>
      </c>
      <c r="D248" s="26" t="s">
        <v>133</v>
      </c>
      <c r="E248" s="26">
        <v>8</v>
      </c>
      <c r="F248" s="8">
        <v>0.34343362439390401</v>
      </c>
      <c r="G248" s="27" t="str">
        <f t="shared" si="22"/>
        <v>Cagliari8</v>
      </c>
      <c r="H248" s="28">
        <f t="shared" si="23"/>
        <v>26</v>
      </c>
      <c r="I248" s="28">
        <f t="shared" si="24"/>
        <v>67</v>
      </c>
      <c r="J248" s="8">
        <f t="shared" si="25"/>
        <v>0.61194029850746268</v>
      </c>
      <c r="K248" s="8">
        <f t="shared" si="26"/>
        <v>0.47768696145068335</v>
      </c>
      <c r="L248" s="29">
        <f t="shared" si="27"/>
        <v>2.9859311937107747E-3</v>
      </c>
      <c r="M248" s="30">
        <f>IF(E248=1,'00-BUDGET'!E$21*L248,'00-BUDGET'!F$21*L248)</f>
        <v>7880.5001728219177</v>
      </c>
      <c r="N248" s="8">
        <f>IF(E248=1,'00-BUDGET'!H$21*L248,'00-BUDGET'!I$21*L248)</f>
        <v>11820.75025923288</v>
      </c>
      <c r="O248" s="8">
        <f>IF(E248=1,'00-BUDGET'!K$21*L248,'00-BUDGET'!L$21*L248)</f>
        <v>15761.000345643844</v>
      </c>
    </row>
    <row r="249" spans="1:15" ht="30" x14ac:dyDescent="0.3">
      <c r="A249" s="5" t="str">
        <f t="shared" si="21"/>
        <v>Centro San Biagio Srl9</v>
      </c>
      <c r="B249" s="26" t="s">
        <v>77</v>
      </c>
      <c r="C249" s="26" t="s">
        <v>42</v>
      </c>
      <c r="D249" s="26" t="s">
        <v>133</v>
      </c>
      <c r="E249" s="26">
        <v>9</v>
      </c>
      <c r="F249" s="8">
        <v>0.34343362439390401</v>
      </c>
      <c r="G249" s="27" t="str">
        <f t="shared" si="22"/>
        <v>Cagliari9</v>
      </c>
      <c r="H249" s="28">
        <f t="shared" si="23"/>
        <v>22</v>
      </c>
      <c r="I249" s="28">
        <f t="shared" si="24"/>
        <v>60</v>
      </c>
      <c r="J249" s="8">
        <f t="shared" si="25"/>
        <v>0.6333333333333333</v>
      </c>
      <c r="K249" s="8">
        <f t="shared" si="26"/>
        <v>0.48838347886361866</v>
      </c>
      <c r="L249" s="29">
        <f t="shared" si="27"/>
        <v>3.0527931086986961E-3</v>
      </c>
      <c r="M249" s="30">
        <f>IF(E249=1,'00-BUDGET'!E$21*L249,'00-BUDGET'!F$21*L249)</f>
        <v>8056.9628233100912</v>
      </c>
      <c r="N249" s="8">
        <f>IF(E249=1,'00-BUDGET'!H$21*L249,'00-BUDGET'!I$21*L249)</f>
        <v>12085.444234965142</v>
      </c>
      <c r="O249" s="8">
        <f>IF(E249=1,'00-BUDGET'!K$21*L249,'00-BUDGET'!L$21*L249)</f>
        <v>16113.925646620191</v>
      </c>
    </row>
    <row r="250" spans="1:15" ht="30" x14ac:dyDescent="0.3">
      <c r="A250" s="5" t="str">
        <f t="shared" si="21"/>
        <v>Centro San Biagio Srl10</v>
      </c>
      <c r="B250" s="26" t="s">
        <v>77</v>
      </c>
      <c r="C250" s="26" t="s">
        <v>42</v>
      </c>
      <c r="D250" s="26" t="s">
        <v>133</v>
      </c>
      <c r="E250" s="26">
        <v>10</v>
      </c>
      <c r="F250" s="8">
        <v>0.34343362439390401</v>
      </c>
      <c r="G250" s="27" t="str">
        <f t="shared" si="22"/>
        <v>Cagliari10</v>
      </c>
      <c r="H250" s="28">
        <f t="shared" si="23"/>
        <v>26</v>
      </c>
      <c r="I250" s="28">
        <f t="shared" si="24"/>
        <v>65</v>
      </c>
      <c r="J250" s="8">
        <f t="shared" si="25"/>
        <v>0.6</v>
      </c>
      <c r="K250" s="8">
        <f t="shared" si="26"/>
        <v>0.471716812196952</v>
      </c>
      <c r="L250" s="29">
        <f t="shared" si="27"/>
        <v>2.9486129155779812E-3</v>
      </c>
      <c r="M250" s="30">
        <f>IF(E250=1,'00-BUDGET'!E$21*L250,'00-BUDGET'!F$21*L250)</f>
        <v>7782.0093911540998</v>
      </c>
      <c r="N250" s="8">
        <f>IF(E250=1,'00-BUDGET'!H$21*L250,'00-BUDGET'!I$21*L250)</f>
        <v>11673.014086731153</v>
      </c>
      <c r="O250" s="8">
        <f>IF(E250=1,'00-BUDGET'!K$21*L250,'00-BUDGET'!L$21*L250)</f>
        <v>15564.018782308207</v>
      </c>
    </row>
    <row r="251" spans="1:15" ht="60" x14ac:dyDescent="0.3">
      <c r="A251" s="5" t="str">
        <f t="shared" si="21"/>
        <v>CMSR SRL8</v>
      </c>
      <c r="B251" s="26" t="s">
        <v>77</v>
      </c>
      <c r="C251" s="26" t="s">
        <v>40</v>
      </c>
      <c r="D251" s="26" t="s">
        <v>134</v>
      </c>
      <c r="E251" s="26">
        <v>8</v>
      </c>
      <c r="F251" s="8">
        <v>0.34343362439390401</v>
      </c>
      <c r="G251" s="27" t="str">
        <f t="shared" si="22"/>
        <v>Cagliari8</v>
      </c>
      <c r="H251" s="28">
        <f t="shared" si="23"/>
        <v>26</v>
      </c>
      <c r="I251" s="28">
        <f t="shared" si="24"/>
        <v>67</v>
      </c>
      <c r="J251" s="8">
        <f t="shared" si="25"/>
        <v>0.61194029850746268</v>
      </c>
      <c r="K251" s="8">
        <f t="shared" si="26"/>
        <v>0.47768696145068335</v>
      </c>
      <c r="L251" s="29">
        <f t="shared" si="27"/>
        <v>2.9859311937107747E-3</v>
      </c>
      <c r="M251" s="30">
        <f>IF(E251=1,'00-BUDGET'!E$21*L251,'00-BUDGET'!F$21*L251)</f>
        <v>7880.5001728219177</v>
      </c>
      <c r="N251" s="8">
        <f>IF(E251=1,'00-BUDGET'!H$21*L251,'00-BUDGET'!I$21*L251)</f>
        <v>11820.75025923288</v>
      </c>
      <c r="O251" s="8">
        <f>IF(E251=1,'00-BUDGET'!K$21*L251,'00-BUDGET'!L$21*L251)</f>
        <v>15761.000345643844</v>
      </c>
    </row>
    <row r="252" spans="1:15" ht="60" x14ac:dyDescent="0.3">
      <c r="A252" s="5" t="str">
        <f t="shared" si="21"/>
        <v>CMSR SRL9</v>
      </c>
      <c r="B252" s="26" t="s">
        <v>77</v>
      </c>
      <c r="C252" s="26" t="s">
        <v>40</v>
      </c>
      <c r="D252" s="26" t="s">
        <v>134</v>
      </c>
      <c r="E252" s="26">
        <v>9</v>
      </c>
      <c r="F252" s="8">
        <v>0.34343362439390401</v>
      </c>
      <c r="G252" s="27" t="str">
        <f t="shared" si="22"/>
        <v>Cagliari9</v>
      </c>
      <c r="H252" s="28">
        <f t="shared" si="23"/>
        <v>22</v>
      </c>
      <c r="I252" s="28">
        <f t="shared" si="24"/>
        <v>60</v>
      </c>
      <c r="J252" s="8">
        <f t="shared" si="25"/>
        <v>0.6333333333333333</v>
      </c>
      <c r="K252" s="8">
        <f t="shared" si="26"/>
        <v>0.48838347886361866</v>
      </c>
      <c r="L252" s="29">
        <f t="shared" si="27"/>
        <v>3.0527931086986961E-3</v>
      </c>
      <c r="M252" s="30">
        <f>IF(E252=1,'00-BUDGET'!E$21*L252,'00-BUDGET'!F$21*L252)</f>
        <v>8056.9628233100912</v>
      </c>
      <c r="N252" s="8">
        <f>IF(E252=1,'00-BUDGET'!H$21*L252,'00-BUDGET'!I$21*L252)</f>
        <v>12085.444234965142</v>
      </c>
      <c r="O252" s="8">
        <f>IF(E252=1,'00-BUDGET'!K$21*L252,'00-BUDGET'!L$21*L252)</f>
        <v>16113.925646620191</v>
      </c>
    </row>
    <row r="253" spans="1:15" ht="60" x14ac:dyDescent="0.3">
      <c r="A253" s="5" t="str">
        <f t="shared" si="21"/>
        <v>CMSR SRL10</v>
      </c>
      <c r="B253" s="26" t="s">
        <v>77</v>
      </c>
      <c r="C253" s="26" t="s">
        <v>40</v>
      </c>
      <c r="D253" s="26" t="s">
        <v>134</v>
      </c>
      <c r="E253" s="26">
        <v>10</v>
      </c>
      <c r="F253" s="8">
        <v>0.34343362439390401</v>
      </c>
      <c r="G253" s="27" t="str">
        <f t="shared" si="22"/>
        <v>Cagliari10</v>
      </c>
      <c r="H253" s="28">
        <f t="shared" si="23"/>
        <v>26</v>
      </c>
      <c r="I253" s="28">
        <f t="shared" si="24"/>
        <v>65</v>
      </c>
      <c r="J253" s="8">
        <f t="shared" si="25"/>
        <v>0.6</v>
      </c>
      <c r="K253" s="8">
        <f t="shared" si="26"/>
        <v>0.471716812196952</v>
      </c>
      <c r="L253" s="29">
        <f t="shared" si="27"/>
        <v>2.9486129155779812E-3</v>
      </c>
      <c r="M253" s="30">
        <f>IF(E253=1,'00-BUDGET'!E$21*L253,'00-BUDGET'!F$21*L253)</f>
        <v>7782.0093911540998</v>
      </c>
      <c r="N253" s="8">
        <f>IF(E253=1,'00-BUDGET'!H$21*L253,'00-BUDGET'!I$21*L253)</f>
        <v>11673.014086731153</v>
      </c>
      <c r="O253" s="8">
        <f>IF(E253=1,'00-BUDGET'!K$21*L253,'00-BUDGET'!L$21*L253)</f>
        <v>15564.018782308207</v>
      </c>
    </row>
    <row r="254" spans="1:15" ht="60" x14ac:dyDescent="0.3">
      <c r="A254" s="5" t="str">
        <f t="shared" si="21"/>
        <v>CMSR SRL11</v>
      </c>
      <c r="B254" s="26" t="s">
        <v>77</v>
      </c>
      <c r="C254" s="26" t="s">
        <v>40</v>
      </c>
      <c r="D254" s="26" t="s">
        <v>134</v>
      </c>
      <c r="E254" s="26">
        <v>11</v>
      </c>
      <c r="F254" s="8">
        <v>0.34343362439390401</v>
      </c>
      <c r="G254" s="27" t="str">
        <f t="shared" si="22"/>
        <v>Cagliari11</v>
      </c>
      <c r="H254" s="28">
        <f t="shared" si="23"/>
        <v>19</v>
      </c>
      <c r="I254" s="28">
        <f t="shared" si="24"/>
        <v>56</v>
      </c>
      <c r="J254" s="8">
        <f t="shared" si="25"/>
        <v>0.6607142857142857</v>
      </c>
      <c r="K254" s="8">
        <f t="shared" si="26"/>
        <v>0.50207395505409491</v>
      </c>
      <c r="L254" s="29">
        <f t="shared" si="27"/>
        <v>3.1383696959049979E-3</v>
      </c>
      <c r="M254" s="30">
        <f>IF(E254=1,'00-BUDGET'!E$21*L254,'00-BUDGET'!F$21*L254)</f>
        <v>8282.8174282953714</v>
      </c>
      <c r="N254" s="8">
        <f>IF(E254=1,'00-BUDGET'!H$21*L254,'00-BUDGET'!I$21*L254)</f>
        <v>12424.22614244306</v>
      </c>
      <c r="O254" s="8">
        <f>IF(E254=1,'00-BUDGET'!K$21*L254,'00-BUDGET'!L$21*L254)</f>
        <v>16565.63485659075</v>
      </c>
    </row>
    <row r="255" spans="1:15" ht="45" x14ac:dyDescent="0.3">
      <c r="A255" s="5" t="str">
        <f t="shared" si="21"/>
        <v>CTR Esperienze Onlus - ALGHERO7</v>
      </c>
      <c r="B255" s="26" t="s">
        <v>81</v>
      </c>
      <c r="C255" s="26" t="s">
        <v>46</v>
      </c>
      <c r="D255" s="26" t="s">
        <v>135</v>
      </c>
      <c r="E255" s="26">
        <v>7</v>
      </c>
      <c r="F255" s="8">
        <v>0.20051177607843701</v>
      </c>
      <c r="G255" s="27" t="str">
        <f t="shared" si="22"/>
        <v>Sassari7</v>
      </c>
      <c r="H255" s="28">
        <f t="shared" si="23"/>
        <v>4</v>
      </c>
      <c r="I255" s="28">
        <f t="shared" si="24"/>
        <v>32</v>
      </c>
      <c r="J255" s="8">
        <f t="shared" si="25"/>
        <v>0.875</v>
      </c>
      <c r="K255" s="8">
        <f t="shared" si="26"/>
        <v>0.53775588803921848</v>
      </c>
      <c r="L255" s="29">
        <f t="shared" si="27"/>
        <v>3.3614107360636324E-3</v>
      </c>
      <c r="M255" s="30">
        <f>IF(E255=1,'00-BUDGET'!E$21*L255,'00-BUDGET'!F$21*L255)</f>
        <v>8871.4696247085594</v>
      </c>
      <c r="N255" s="8">
        <f>IF(E255=1,'00-BUDGET'!H$21*L255,'00-BUDGET'!I$21*L255)</f>
        <v>13307.204437062843</v>
      </c>
      <c r="O255" s="8">
        <f>IF(E255=1,'00-BUDGET'!K$21*L255,'00-BUDGET'!L$21*L255)</f>
        <v>17742.939249417126</v>
      </c>
    </row>
    <row r="256" spans="1:15" ht="45" x14ac:dyDescent="0.3">
      <c r="A256" s="5" t="str">
        <f t="shared" si="21"/>
        <v>CTR Esperienze Onlus - ALGHERO8</v>
      </c>
      <c r="B256" s="26" t="s">
        <v>81</v>
      </c>
      <c r="C256" s="26" t="s">
        <v>46</v>
      </c>
      <c r="D256" s="26" t="s">
        <v>135</v>
      </c>
      <c r="E256" s="26">
        <v>8</v>
      </c>
      <c r="F256" s="8">
        <v>0.20051177607843701</v>
      </c>
      <c r="G256" s="27" t="str">
        <f t="shared" si="22"/>
        <v>Sassari8</v>
      </c>
      <c r="H256" s="28">
        <f t="shared" si="23"/>
        <v>6</v>
      </c>
      <c r="I256" s="28">
        <f t="shared" si="24"/>
        <v>67</v>
      </c>
      <c r="J256" s="8">
        <f t="shared" si="25"/>
        <v>0.91044776119402981</v>
      </c>
      <c r="K256" s="8">
        <f t="shared" si="26"/>
        <v>0.55547976863623338</v>
      </c>
      <c r="L256" s="29">
        <f t="shared" si="27"/>
        <v>3.4721993742703621E-3</v>
      </c>
      <c r="M256" s="30">
        <f>IF(E256=1,'00-BUDGET'!E$21*L256,'00-BUDGET'!F$21*L256)</f>
        <v>9163.8641327848909</v>
      </c>
      <c r="N256" s="8">
        <f>IF(E256=1,'00-BUDGET'!H$21*L256,'00-BUDGET'!I$21*L256)</f>
        <v>13745.796199177341</v>
      </c>
      <c r="O256" s="8">
        <f>IF(E256=1,'00-BUDGET'!K$21*L256,'00-BUDGET'!L$21*L256)</f>
        <v>18327.728265569793</v>
      </c>
    </row>
    <row r="257" spans="1:15" ht="45" x14ac:dyDescent="0.3">
      <c r="A257" s="5" t="str">
        <f t="shared" si="21"/>
        <v>CTR Esperienze Onlus - ALGHERO9</v>
      </c>
      <c r="B257" s="26" t="s">
        <v>81</v>
      </c>
      <c r="C257" s="26" t="s">
        <v>46</v>
      </c>
      <c r="D257" s="26" t="s">
        <v>135</v>
      </c>
      <c r="E257" s="26">
        <v>9</v>
      </c>
      <c r="F257" s="8">
        <v>0.20051177607843701</v>
      </c>
      <c r="G257" s="27" t="str">
        <f t="shared" si="22"/>
        <v>Sassari9</v>
      </c>
      <c r="H257" s="28">
        <f t="shared" si="23"/>
        <v>6</v>
      </c>
      <c r="I257" s="28">
        <f t="shared" si="24"/>
        <v>60</v>
      </c>
      <c r="J257" s="8">
        <f t="shared" si="25"/>
        <v>0.9</v>
      </c>
      <c r="K257" s="8">
        <f t="shared" si="26"/>
        <v>0.55025588803921854</v>
      </c>
      <c r="L257" s="29">
        <f t="shared" si="27"/>
        <v>3.4395458809041686E-3</v>
      </c>
      <c r="M257" s="30">
        <f>IF(E257=1,'00-BUDGET'!E$21*L257,'00-BUDGET'!F$21*L257)</f>
        <v>9077.6846988255529</v>
      </c>
      <c r="N257" s="8">
        <f>IF(E257=1,'00-BUDGET'!H$21*L257,'00-BUDGET'!I$21*L257)</f>
        <v>13616.527048238333</v>
      </c>
      <c r="O257" s="8">
        <f>IF(E257=1,'00-BUDGET'!K$21*L257,'00-BUDGET'!L$21*L257)</f>
        <v>18155.369397651113</v>
      </c>
    </row>
    <row r="258" spans="1:15" ht="45" x14ac:dyDescent="0.3">
      <c r="A258" s="5" t="str">
        <f t="shared" ref="A258:A321" si="28">CONCATENATE(D258,E258)</f>
        <v>CTR Esperienze Onlus - ALGHERO10</v>
      </c>
      <c r="B258" s="26" t="s">
        <v>81</v>
      </c>
      <c r="C258" s="26" t="s">
        <v>46</v>
      </c>
      <c r="D258" s="26" t="s">
        <v>135</v>
      </c>
      <c r="E258" s="26">
        <v>10</v>
      </c>
      <c r="F258" s="8">
        <v>0.20051177607843701</v>
      </c>
      <c r="G258" s="27" t="str">
        <f t="shared" ref="G258:G321" si="29">CONCATENATE(B258,E258)</f>
        <v>Sassari10</v>
      </c>
      <c r="H258" s="28">
        <f t="shared" ref="H258:H321" si="30">COUNTIF(G$2:G$398,G258)</f>
        <v>6</v>
      </c>
      <c r="I258" s="28">
        <f t="shared" ref="I258:I321" si="31">COUNTIF(E$2:E$398,E258)</f>
        <v>65</v>
      </c>
      <c r="J258" s="8">
        <f t="shared" ref="J258:J321" si="32">IF(1-(H258/I258)=0,1,1-(H258/I258))</f>
        <v>0.90769230769230769</v>
      </c>
      <c r="K258" s="8">
        <f t="shared" ref="K258:K321" si="33">AVERAGE(J258,F258)</f>
        <v>0.55410204188537238</v>
      </c>
      <c r="L258" s="29">
        <f t="shared" ref="L258:L321" si="34">K258/IF(E258=1,SUMIF(E$2:E$398,"=1",K$2:K$398),SUMIF(E$2:E$398,"&lt;&gt;1",K$2:K$398))</f>
        <v>3.4635874639320258E-3</v>
      </c>
      <c r="M258" s="30">
        <f>IF(E258=1,'00-BUDGET'!E$21*L258,'00-BUDGET'!F$21*L258)</f>
        <v>9141.1354908615504</v>
      </c>
      <c r="N258" s="8">
        <f>IF(E258=1,'00-BUDGET'!H$21*L258,'00-BUDGET'!I$21*L258)</f>
        <v>13711.703236292331</v>
      </c>
      <c r="O258" s="8">
        <f>IF(E258=1,'00-BUDGET'!K$21*L258,'00-BUDGET'!L$21*L258)</f>
        <v>18282.270981723112</v>
      </c>
    </row>
    <row r="259" spans="1:15" ht="45" x14ac:dyDescent="0.3">
      <c r="A259" s="5" t="str">
        <f t="shared" si="28"/>
        <v>CTR Esperienze Onlus - ALGHERO11</v>
      </c>
      <c r="B259" s="26" t="s">
        <v>81</v>
      </c>
      <c r="C259" s="26" t="s">
        <v>46</v>
      </c>
      <c r="D259" s="26" t="s">
        <v>135</v>
      </c>
      <c r="E259" s="26">
        <v>11</v>
      </c>
      <c r="F259" s="8">
        <v>0.20051177607843701</v>
      </c>
      <c r="G259" s="27" t="str">
        <f t="shared" si="29"/>
        <v>Sassari11</v>
      </c>
      <c r="H259" s="28">
        <f t="shared" si="30"/>
        <v>6</v>
      </c>
      <c r="I259" s="28">
        <f t="shared" si="31"/>
        <v>56</v>
      </c>
      <c r="J259" s="8">
        <f t="shared" si="32"/>
        <v>0.8928571428571429</v>
      </c>
      <c r="K259" s="8">
        <f t="shared" si="33"/>
        <v>0.54668445946778998</v>
      </c>
      <c r="L259" s="29">
        <f t="shared" si="34"/>
        <v>3.4172215538068726E-3</v>
      </c>
      <c r="M259" s="30">
        <f>IF(E259=1,'00-BUDGET'!E$21*L259,'00-BUDGET'!F$21*L259)</f>
        <v>9018.7661062206971</v>
      </c>
      <c r="N259" s="8">
        <f>IF(E259=1,'00-BUDGET'!H$21*L259,'00-BUDGET'!I$21*L259)</f>
        <v>13528.149159331051</v>
      </c>
      <c r="O259" s="8">
        <f>IF(E259=1,'00-BUDGET'!K$21*L259,'00-BUDGET'!L$21*L259)</f>
        <v>18037.532212441405</v>
      </c>
    </row>
    <row r="260" spans="1:15" ht="45" x14ac:dyDescent="0.3">
      <c r="A260" s="5" t="str">
        <f t="shared" si="28"/>
        <v>CTR Esperienze Onlus - ORISTANO7</v>
      </c>
      <c r="B260" s="26" t="s">
        <v>71</v>
      </c>
      <c r="C260" s="26" t="s">
        <v>46</v>
      </c>
      <c r="D260" s="26" t="s">
        <v>136</v>
      </c>
      <c r="E260" s="26">
        <v>7</v>
      </c>
      <c r="F260" s="8">
        <v>9.6021640241071501E-2</v>
      </c>
      <c r="G260" s="27" t="str">
        <f t="shared" si="29"/>
        <v>Oristano7</v>
      </c>
      <c r="H260" s="28">
        <f t="shared" si="30"/>
        <v>2</v>
      </c>
      <c r="I260" s="28">
        <f t="shared" si="31"/>
        <v>32</v>
      </c>
      <c r="J260" s="8">
        <f t="shared" si="32"/>
        <v>0.9375</v>
      </c>
      <c r="K260" s="8">
        <f t="shared" si="33"/>
        <v>0.5167608201205357</v>
      </c>
      <c r="L260" s="29">
        <f t="shared" si="34"/>
        <v>3.2301745222425788E-3</v>
      </c>
      <c r="M260" s="30">
        <f>IF(E260=1,'00-BUDGET'!E$21*L260,'00-BUDGET'!F$21*L260)</f>
        <v>8525.1096657531598</v>
      </c>
      <c r="N260" s="8">
        <f>IF(E260=1,'00-BUDGET'!H$21*L260,'00-BUDGET'!I$21*L260)</f>
        <v>12787.664498629745</v>
      </c>
      <c r="O260" s="8">
        <f>IF(E260=1,'00-BUDGET'!K$21*L260,'00-BUDGET'!L$21*L260)</f>
        <v>17050.21933150633</v>
      </c>
    </row>
    <row r="261" spans="1:15" ht="45" x14ac:dyDescent="0.3">
      <c r="A261" s="5" t="str">
        <f t="shared" si="28"/>
        <v>CTR Esperienze Onlus - ORISTANO8</v>
      </c>
      <c r="B261" s="26" t="s">
        <v>71</v>
      </c>
      <c r="C261" s="26" t="s">
        <v>46</v>
      </c>
      <c r="D261" s="26" t="s">
        <v>136</v>
      </c>
      <c r="E261" s="26">
        <v>8</v>
      </c>
      <c r="F261" s="8">
        <v>9.6021640241071501E-2</v>
      </c>
      <c r="G261" s="27" t="str">
        <f t="shared" si="29"/>
        <v>Oristano8</v>
      </c>
      <c r="H261" s="28">
        <f t="shared" si="30"/>
        <v>6</v>
      </c>
      <c r="I261" s="28">
        <f t="shared" si="31"/>
        <v>67</v>
      </c>
      <c r="J261" s="8">
        <f t="shared" si="32"/>
        <v>0.91044776119402981</v>
      </c>
      <c r="K261" s="8">
        <f t="shared" si="33"/>
        <v>0.50323470071755061</v>
      </c>
      <c r="L261" s="29">
        <f t="shared" si="34"/>
        <v>3.1456252983479687E-3</v>
      </c>
      <c r="M261" s="30">
        <f>IF(E261=1,'00-BUDGET'!E$21*L261,'00-BUDGET'!F$21*L261)</f>
        <v>8301.9664885370112</v>
      </c>
      <c r="N261" s="8">
        <f>IF(E261=1,'00-BUDGET'!H$21*L261,'00-BUDGET'!I$21*L261)</f>
        <v>12452.94973280552</v>
      </c>
      <c r="O261" s="8">
        <f>IF(E261=1,'00-BUDGET'!K$21*L261,'00-BUDGET'!L$21*L261)</f>
        <v>16603.93297707403</v>
      </c>
    </row>
    <row r="262" spans="1:15" ht="45" x14ac:dyDescent="0.3">
      <c r="A262" s="5" t="str">
        <f t="shared" si="28"/>
        <v>CTR Esperienze Onlus - ORISTANO9</v>
      </c>
      <c r="B262" s="26" t="s">
        <v>71</v>
      </c>
      <c r="C262" s="26" t="s">
        <v>46</v>
      </c>
      <c r="D262" s="26" t="s">
        <v>136</v>
      </c>
      <c r="E262" s="26">
        <v>9</v>
      </c>
      <c r="F262" s="8">
        <v>9.6021640241071501E-2</v>
      </c>
      <c r="G262" s="27" t="str">
        <f t="shared" si="29"/>
        <v>Oristano9</v>
      </c>
      <c r="H262" s="28">
        <f t="shared" si="30"/>
        <v>5</v>
      </c>
      <c r="I262" s="28">
        <f t="shared" si="31"/>
        <v>60</v>
      </c>
      <c r="J262" s="8">
        <f t="shared" si="32"/>
        <v>0.91666666666666663</v>
      </c>
      <c r="K262" s="8">
        <f t="shared" si="33"/>
        <v>0.50634415345386907</v>
      </c>
      <c r="L262" s="29">
        <f t="shared" si="34"/>
        <v>3.165061901542132E-3</v>
      </c>
      <c r="M262" s="30">
        <f>IF(E262=1,'00-BUDGET'!E$21*L262,'00-BUDGET'!F$21*L262)</f>
        <v>8353.2637706556652</v>
      </c>
      <c r="N262" s="8">
        <f>IF(E262=1,'00-BUDGET'!H$21*L262,'00-BUDGET'!I$21*L262)</f>
        <v>12529.895655983502</v>
      </c>
      <c r="O262" s="8">
        <f>IF(E262=1,'00-BUDGET'!K$21*L262,'00-BUDGET'!L$21*L262)</f>
        <v>16706.527541311341</v>
      </c>
    </row>
    <row r="263" spans="1:15" ht="45" x14ac:dyDescent="0.3">
      <c r="A263" s="5" t="str">
        <f t="shared" si="28"/>
        <v>CTR Esperienze Onlus - ORISTANO10</v>
      </c>
      <c r="B263" s="26" t="s">
        <v>71</v>
      </c>
      <c r="C263" s="26" t="s">
        <v>46</v>
      </c>
      <c r="D263" s="26" t="s">
        <v>136</v>
      </c>
      <c r="E263" s="26">
        <v>10</v>
      </c>
      <c r="F263" s="8">
        <v>9.6021640241071501E-2</v>
      </c>
      <c r="G263" s="27" t="str">
        <f t="shared" si="29"/>
        <v>Oristano10</v>
      </c>
      <c r="H263" s="28">
        <f t="shared" si="30"/>
        <v>5</v>
      </c>
      <c r="I263" s="28">
        <f t="shared" si="31"/>
        <v>65</v>
      </c>
      <c r="J263" s="8">
        <f t="shared" si="32"/>
        <v>0.92307692307692313</v>
      </c>
      <c r="K263" s="8">
        <f t="shared" si="33"/>
        <v>0.50954928165899727</v>
      </c>
      <c r="L263" s="29">
        <f t="shared" si="34"/>
        <v>3.1850965540653467E-3</v>
      </c>
      <c r="M263" s="30">
        <f>IF(E263=1,'00-BUDGET'!E$21*L263,'00-BUDGET'!F$21*L263)</f>
        <v>8406.1394306856655</v>
      </c>
      <c r="N263" s="8">
        <f>IF(E263=1,'00-BUDGET'!H$21*L263,'00-BUDGET'!I$21*L263)</f>
        <v>12609.209146028501</v>
      </c>
      <c r="O263" s="8">
        <f>IF(E263=1,'00-BUDGET'!K$21*L263,'00-BUDGET'!L$21*L263)</f>
        <v>16812.278861371338</v>
      </c>
    </row>
    <row r="264" spans="1:15" ht="45" x14ac:dyDescent="0.3">
      <c r="A264" s="5" t="str">
        <f t="shared" si="28"/>
        <v>CTR Esperienze Onlus - ORISTANO11</v>
      </c>
      <c r="B264" s="26" t="s">
        <v>71</v>
      </c>
      <c r="C264" s="26" t="s">
        <v>46</v>
      </c>
      <c r="D264" s="26" t="s">
        <v>136</v>
      </c>
      <c r="E264" s="26">
        <v>11</v>
      </c>
      <c r="F264" s="8">
        <v>9.6021640241071501E-2</v>
      </c>
      <c r="G264" s="27" t="str">
        <f t="shared" si="29"/>
        <v>Oristano11</v>
      </c>
      <c r="H264" s="28">
        <f t="shared" si="30"/>
        <v>4</v>
      </c>
      <c r="I264" s="28">
        <f t="shared" si="31"/>
        <v>56</v>
      </c>
      <c r="J264" s="8">
        <f t="shared" si="32"/>
        <v>0.9285714285714286</v>
      </c>
      <c r="K264" s="8">
        <f t="shared" si="33"/>
        <v>0.51229653440625</v>
      </c>
      <c r="L264" s="29">
        <f t="shared" si="34"/>
        <v>3.2022691133709587E-3</v>
      </c>
      <c r="M264" s="30">
        <f>IF(E264=1,'00-BUDGET'!E$21*L264,'00-BUDGET'!F$21*L264)</f>
        <v>8451.4614249970909</v>
      </c>
      <c r="N264" s="8">
        <f>IF(E264=1,'00-BUDGET'!H$21*L264,'00-BUDGET'!I$21*L264)</f>
        <v>12677.192137495642</v>
      </c>
      <c r="O264" s="8">
        <f>IF(E264=1,'00-BUDGET'!K$21*L264,'00-BUDGET'!L$21*L264)</f>
        <v>16902.922849994193</v>
      </c>
    </row>
    <row r="265" spans="1:15" ht="45" x14ac:dyDescent="0.3">
      <c r="A265" s="5" t="str">
        <f t="shared" si="28"/>
        <v>CTR Esperienze Onlus - SANLURI7</v>
      </c>
      <c r="B265" s="26" t="s">
        <v>102</v>
      </c>
      <c r="C265" s="26" t="s">
        <v>46</v>
      </c>
      <c r="D265" s="26" t="s">
        <v>137</v>
      </c>
      <c r="E265" s="26">
        <v>7</v>
      </c>
      <c r="F265" s="8">
        <v>5.8371702890174099E-2</v>
      </c>
      <c r="G265" s="27" t="str">
        <f t="shared" si="29"/>
        <v>Medio campidano7</v>
      </c>
      <c r="H265" s="28">
        <f t="shared" si="30"/>
        <v>2</v>
      </c>
      <c r="I265" s="28">
        <f t="shared" si="31"/>
        <v>32</v>
      </c>
      <c r="J265" s="8">
        <f t="shared" si="32"/>
        <v>0.9375</v>
      </c>
      <c r="K265" s="8">
        <f t="shared" si="33"/>
        <v>0.49793585144508706</v>
      </c>
      <c r="L265" s="29">
        <f t="shared" si="34"/>
        <v>3.1125031899166002E-3</v>
      </c>
      <c r="M265" s="30">
        <f>IF(E265=1,'00-BUDGET'!E$21*L265,'00-BUDGET'!F$21*L265)</f>
        <v>8214.5502809005429</v>
      </c>
      <c r="N265" s="8">
        <f>IF(E265=1,'00-BUDGET'!H$21*L265,'00-BUDGET'!I$21*L265)</f>
        <v>12321.825421350819</v>
      </c>
      <c r="O265" s="8">
        <f>IF(E265=1,'00-BUDGET'!K$21*L265,'00-BUDGET'!L$21*L265)</f>
        <v>16429.100561801097</v>
      </c>
    </row>
    <row r="266" spans="1:15" ht="45" x14ac:dyDescent="0.3">
      <c r="A266" s="5" t="str">
        <f t="shared" si="28"/>
        <v>CTR Esperienze Onlus - SANLURI8</v>
      </c>
      <c r="B266" s="26" t="s">
        <v>102</v>
      </c>
      <c r="C266" s="26" t="s">
        <v>46</v>
      </c>
      <c r="D266" s="26" t="s">
        <v>137</v>
      </c>
      <c r="E266" s="26">
        <v>8</v>
      </c>
      <c r="F266" s="8">
        <v>5.8371702890174099E-2</v>
      </c>
      <c r="G266" s="27" t="str">
        <f t="shared" si="29"/>
        <v>Medio campidano8</v>
      </c>
      <c r="H266" s="28">
        <f t="shared" si="30"/>
        <v>4</v>
      </c>
      <c r="I266" s="28">
        <f t="shared" si="31"/>
        <v>67</v>
      </c>
      <c r="J266" s="8">
        <f t="shared" si="32"/>
        <v>0.94029850746268662</v>
      </c>
      <c r="K266" s="8">
        <f t="shared" si="33"/>
        <v>0.49933510517643037</v>
      </c>
      <c r="L266" s="29">
        <f t="shared" si="34"/>
        <v>3.1212496613539737E-3</v>
      </c>
      <c r="M266" s="30">
        <f>IF(E266=1,'00-BUDGET'!E$21*L266,'00-BUDGET'!F$21*L266)</f>
        <v>8237.6340578539384</v>
      </c>
      <c r="N266" s="8">
        <f>IF(E266=1,'00-BUDGET'!H$21*L266,'00-BUDGET'!I$21*L266)</f>
        <v>12356.451086780911</v>
      </c>
      <c r="O266" s="8">
        <f>IF(E266=1,'00-BUDGET'!K$21*L266,'00-BUDGET'!L$21*L266)</f>
        <v>16475.268115707884</v>
      </c>
    </row>
    <row r="267" spans="1:15" ht="45" x14ac:dyDescent="0.3">
      <c r="A267" s="5" t="str">
        <f t="shared" si="28"/>
        <v>CTR Esperienze Onlus - SANLURI9</v>
      </c>
      <c r="B267" s="26" t="s">
        <v>102</v>
      </c>
      <c r="C267" s="26" t="s">
        <v>46</v>
      </c>
      <c r="D267" s="26" t="s">
        <v>137</v>
      </c>
      <c r="E267" s="26">
        <v>9</v>
      </c>
      <c r="F267" s="8">
        <v>5.8371702890174099E-2</v>
      </c>
      <c r="G267" s="27" t="str">
        <f t="shared" si="29"/>
        <v>Medio campidano9</v>
      </c>
      <c r="H267" s="28">
        <f t="shared" si="30"/>
        <v>4</v>
      </c>
      <c r="I267" s="28">
        <f t="shared" si="31"/>
        <v>60</v>
      </c>
      <c r="J267" s="8">
        <f t="shared" si="32"/>
        <v>0.93333333333333335</v>
      </c>
      <c r="K267" s="8">
        <f t="shared" si="33"/>
        <v>0.49585251811175374</v>
      </c>
      <c r="L267" s="29">
        <f t="shared" si="34"/>
        <v>3.0994806657765107E-3</v>
      </c>
      <c r="M267" s="30">
        <f>IF(E267=1,'00-BUDGET'!E$21*L267,'00-BUDGET'!F$21*L267)</f>
        <v>8180.181101881044</v>
      </c>
      <c r="N267" s="8">
        <f>IF(E267=1,'00-BUDGET'!H$21*L267,'00-BUDGET'!I$21*L267)</f>
        <v>12270.27165282157</v>
      </c>
      <c r="O267" s="8">
        <f>IF(E267=1,'00-BUDGET'!K$21*L267,'00-BUDGET'!L$21*L267)</f>
        <v>16360.362203762095</v>
      </c>
    </row>
    <row r="268" spans="1:15" ht="45" x14ac:dyDescent="0.3">
      <c r="A268" s="5" t="str">
        <f t="shared" si="28"/>
        <v>CTR Esperienze Onlus - SANLURI10</v>
      </c>
      <c r="B268" s="26" t="s">
        <v>102</v>
      </c>
      <c r="C268" s="26" t="s">
        <v>46</v>
      </c>
      <c r="D268" s="26" t="s">
        <v>137</v>
      </c>
      <c r="E268" s="26">
        <v>10</v>
      </c>
      <c r="F268" s="8">
        <v>5.8371702890174099E-2</v>
      </c>
      <c r="G268" s="27" t="str">
        <f t="shared" si="29"/>
        <v>Medio campidano10</v>
      </c>
      <c r="H268" s="28">
        <f t="shared" si="30"/>
        <v>4</v>
      </c>
      <c r="I268" s="28">
        <f t="shared" si="31"/>
        <v>65</v>
      </c>
      <c r="J268" s="8">
        <f t="shared" si="32"/>
        <v>0.93846153846153846</v>
      </c>
      <c r="K268" s="8">
        <f t="shared" si="33"/>
        <v>0.49841662067585629</v>
      </c>
      <c r="L268" s="29">
        <f t="shared" si="34"/>
        <v>3.115508387795082E-3</v>
      </c>
      <c r="M268" s="30">
        <f>IF(E268=1,'00-BUDGET'!E$21*L268,'00-BUDGET'!F$21*L268)</f>
        <v>8222.4816299050417</v>
      </c>
      <c r="N268" s="8">
        <f>IF(E268=1,'00-BUDGET'!H$21*L268,'00-BUDGET'!I$21*L268)</f>
        <v>12333.722444857567</v>
      </c>
      <c r="O268" s="8">
        <f>IF(E268=1,'00-BUDGET'!K$21*L268,'00-BUDGET'!L$21*L268)</f>
        <v>16444.963259810091</v>
      </c>
    </row>
    <row r="269" spans="1:15" ht="45" x14ac:dyDescent="0.3">
      <c r="A269" s="5" t="str">
        <f t="shared" si="28"/>
        <v>CTR Esperienze Onlus - SANLURI11</v>
      </c>
      <c r="B269" s="26" t="s">
        <v>102</v>
      </c>
      <c r="C269" s="26" t="s">
        <v>46</v>
      </c>
      <c r="D269" s="26" t="s">
        <v>137</v>
      </c>
      <c r="E269" s="26">
        <v>11</v>
      </c>
      <c r="F269" s="8">
        <v>5.8371702890174099E-2</v>
      </c>
      <c r="G269" s="27" t="str">
        <f t="shared" si="29"/>
        <v>Medio campidano11</v>
      </c>
      <c r="H269" s="28">
        <f t="shared" si="30"/>
        <v>4</v>
      </c>
      <c r="I269" s="28">
        <f t="shared" si="31"/>
        <v>56</v>
      </c>
      <c r="J269" s="8">
        <f t="shared" si="32"/>
        <v>0.9285714285714286</v>
      </c>
      <c r="K269" s="8">
        <f t="shared" si="33"/>
        <v>0.49347156573080136</v>
      </c>
      <c r="L269" s="29">
        <f t="shared" si="34"/>
        <v>3.0845977810449801E-3</v>
      </c>
      <c r="M269" s="30">
        <f>IF(E269=1,'00-BUDGET'!E$21*L269,'00-BUDGET'!F$21*L269)</f>
        <v>8140.9020401444741</v>
      </c>
      <c r="N269" s="8">
        <f>IF(E269=1,'00-BUDGET'!H$21*L269,'00-BUDGET'!I$21*L269)</f>
        <v>12211.353060216716</v>
      </c>
      <c r="O269" s="8">
        <f>IF(E269=1,'00-BUDGET'!K$21*L269,'00-BUDGET'!L$21*L269)</f>
        <v>16281.804080288955</v>
      </c>
    </row>
    <row r="270" spans="1:15" ht="120" x14ac:dyDescent="0.3">
      <c r="A270" s="5" t="str">
        <f t="shared" si="28"/>
        <v>Fond. Nostra Signora del Rimedio – Centro S.Maria Bambina1</v>
      </c>
      <c r="B270" s="26" t="s">
        <v>71</v>
      </c>
      <c r="C270" s="26" t="s">
        <v>27</v>
      </c>
      <c r="D270" s="26" t="s">
        <v>138</v>
      </c>
      <c r="E270" s="26">
        <v>1</v>
      </c>
      <c r="F270" s="8">
        <v>9.6021640241071501E-2</v>
      </c>
      <c r="G270" s="27" t="str">
        <f t="shared" si="29"/>
        <v>Oristano1</v>
      </c>
      <c r="H270" s="28">
        <f t="shared" si="30"/>
        <v>2</v>
      </c>
      <c r="I270" s="28">
        <f t="shared" si="31"/>
        <v>4</v>
      </c>
      <c r="J270" s="8">
        <f t="shared" si="32"/>
        <v>0.5</v>
      </c>
      <c r="K270" s="8">
        <f t="shared" si="33"/>
        <v>0.29801082012053576</v>
      </c>
      <c r="L270" s="29">
        <f t="shared" si="34"/>
        <v>0.25815361972912398</v>
      </c>
      <c r="M270" s="30">
        <f>IF(E270=1,'00-BUDGET'!E$21*L270,'00-BUDGET'!F$21*L270)</f>
        <v>94159.809711140028</v>
      </c>
      <c r="N270" s="8">
        <f>IF(E270=1,'00-BUDGET'!H$21*L270,'00-BUDGET'!I$21*L270)</f>
        <v>141239.71456671008</v>
      </c>
      <c r="O270" s="8">
        <f>IF(E270=1,'00-BUDGET'!K$21*L270,'00-BUDGET'!L$21*L270)</f>
        <v>188319.61942228014</v>
      </c>
    </row>
    <row r="271" spans="1:15" ht="120" x14ac:dyDescent="0.3">
      <c r="A271" s="5" t="str">
        <f t="shared" si="28"/>
        <v>Fond. Nostra Signora del Rimedio – Centro S.Maria Bambina1</v>
      </c>
      <c r="B271" s="26" t="s">
        <v>71</v>
      </c>
      <c r="C271" s="26" t="s">
        <v>27</v>
      </c>
      <c r="D271" s="26" t="s">
        <v>138</v>
      </c>
      <c r="E271" s="26">
        <v>1</v>
      </c>
      <c r="F271" s="8">
        <v>9.6021640241071501E-2</v>
      </c>
      <c r="G271" s="27" t="str">
        <f t="shared" si="29"/>
        <v>Oristano1</v>
      </c>
      <c r="H271" s="28">
        <f t="shared" si="30"/>
        <v>2</v>
      </c>
      <c r="I271" s="28">
        <f t="shared" si="31"/>
        <v>4</v>
      </c>
      <c r="J271" s="8">
        <f t="shared" si="32"/>
        <v>0.5</v>
      </c>
      <c r="K271" s="8">
        <f t="shared" si="33"/>
        <v>0.29801082012053576</v>
      </c>
      <c r="L271" s="29">
        <f t="shared" si="34"/>
        <v>0.25815361972912398</v>
      </c>
      <c r="M271" s="30">
        <f>IF(E271=1,'00-BUDGET'!E$21*L271,'00-BUDGET'!F$21*L271)</f>
        <v>94159.809711140028</v>
      </c>
      <c r="N271" s="8">
        <f>IF(E271=1,'00-BUDGET'!H$21*L271,'00-BUDGET'!I$21*L271)</f>
        <v>141239.71456671008</v>
      </c>
      <c r="O271" s="8">
        <f>IF(E271=1,'00-BUDGET'!K$21*L271,'00-BUDGET'!L$21*L271)</f>
        <v>188319.61942228014</v>
      </c>
    </row>
    <row r="272" spans="1:15" ht="120" x14ac:dyDescent="0.3">
      <c r="A272" s="5" t="str">
        <f t="shared" si="28"/>
        <v>Fond. Nostra Signora del Rimedio – Centro S.Maria Bambina2</v>
      </c>
      <c r="B272" s="26" t="s">
        <v>71</v>
      </c>
      <c r="C272" s="26" t="s">
        <v>48</v>
      </c>
      <c r="D272" s="26" t="s">
        <v>138</v>
      </c>
      <c r="E272" s="26">
        <v>2</v>
      </c>
      <c r="F272" s="8">
        <v>9.6021640241071501E-2</v>
      </c>
      <c r="G272" s="27" t="str">
        <f t="shared" si="29"/>
        <v>Oristano2</v>
      </c>
      <c r="H272" s="28">
        <f t="shared" si="30"/>
        <v>1</v>
      </c>
      <c r="I272" s="28">
        <f t="shared" si="31"/>
        <v>5</v>
      </c>
      <c r="J272" s="8">
        <f t="shared" si="32"/>
        <v>0.8</v>
      </c>
      <c r="K272" s="8">
        <f t="shared" si="33"/>
        <v>0.44801082012053578</v>
      </c>
      <c r="L272" s="29">
        <f t="shared" si="34"/>
        <v>2.800431225619631E-3</v>
      </c>
      <c r="M272" s="30">
        <f>IF(E272=1,'00-BUDGET'!E$21*L272,'00-BUDGET'!F$21*L272)</f>
        <v>7390.9267581096983</v>
      </c>
      <c r="N272" s="8">
        <f>IF(E272=1,'00-BUDGET'!H$21*L272,'00-BUDGET'!I$21*L272)</f>
        <v>11086.390137164552</v>
      </c>
      <c r="O272" s="8">
        <f>IF(E272=1,'00-BUDGET'!K$21*L272,'00-BUDGET'!L$21*L272)</f>
        <v>14781.853516219404</v>
      </c>
    </row>
    <row r="273" spans="1:15" ht="120" x14ac:dyDescent="0.3">
      <c r="A273" s="5" t="str">
        <f t="shared" si="28"/>
        <v>Fond. Nostra Signora del Rimedio – Centro S.Maria Bambina7</v>
      </c>
      <c r="B273" s="26" t="s">
        <v>71</v>
      </c>
      <c r="C273" s="26" t="s">
        <v>48</v>
      </c>
      <c r="D273" s="26" t="s">
        <v>138</v>
      </c>
      <c r="E273" s="26">
        <v>7</v>
      </c>
      <c r="F273" s="8">
        <v>9.6021640241071501E-2</v>
      </c>
      <c r="G273" s="27" t="str">
        <f t="shared" si="29"/>
        <v>Oristano7</v>
      </c>
      <c r="H273" s="28">
        <f t="shared" si="30"/>
        <v>2</v>
      </c>
      <c r="I273" s="28">
        <f t="shared" si="31"/>
        <v>32</v>
      </c>
      <c r="J273" s="8">
        <f t="shared" si="32"/>
        <v>0.9375</v>
      </c>
      <c r="K273" s="8">
        <f t="shared" si="33"/>
        <v>0.5167608201205357</v>
      </c>
      <c r="L273" s="29">
        <f t="shared" si="34"/>
        <v>3.2301745222425788E-3</v>
      </c>
      <c r="M273" s="30">
        <f>IF(E273=1,'00-BUDGET'!E$21*L273,'00-BUDGET'!F$21*L273)</f>
        <v>8525.1096657531598</v>
      </c>
      <c r="N273" s="8">
        <f>IF(E273=1,'00-BUDGET'!H$21*L273,'00-BUDGET'!I$21*L273)</f>
        <v>12787.664498629745</v>
      </c>
      <c r="O273" s="8">
        <f>IF(E273=1,'00-BUDGET'!K$21*L273,'00-BUDGET'!L$21*L273)</f>
        <v>17050.21933150633</v>
      </c>
    </row>
    <row r="274" spans="1:15" ht="120" x14ac:dyDescent="0.3">
      <c r="A274" s="5" t="str">
        <f t="shared" si="28"/>
        <v>Fond. Nostra Signora del Rimedio – Centro S.Maria Bambina8</v>
      </c>
      <c r="B274" s="26" t="s">
        <v>71</v>
      </c>
      <c r="C274" s="26" t="s">
        <v>48</v>
      </c>
      <c r="D274" s="26" t="s">
        <v>138</v>
      </c>
      <c r="E274" s="26">
        <v>8</v>
      </c>
      <c r="F274" s="8">
        <v>9.6021640241071501E-2</v>
      </c>
      <c r="G274" s="27" t="str">
        <f t="shared" si="29"/>
        <v>Oristano8</v>
      </c>
      <c r="H274" s="28">
        <f t="shared" si="30"/>
        <v>6</v>
      </c>
      <c r="I274" s="28">
        <f t="shared" si="31"/>
        <v>67</v>
      </c>
      <c r="J274" s="8">
        <f t="shared" si="32"/>
        <v>0.91044776119402981</v>
      </c>
      <c r="K274" s="8">
        <f t="shared" si="33"/>
        <v>0.50323470071755061</v>
      </c>
      <c r="L274" s="29">
        <f t="shared" si="34"/>
        <v>3.1456252983479687E-3</v>
      </c>
      <c r="M274" s="30">
        <f>IF(E274=1,'00-BUDGET'!E$21*L274,'00-BUDGET'!F$21*L274)</f>
        <v>8301.9664885370112</v>
      </c>
      <c r="N274" s="8">
        <f>IF(E274=1,'00-BUDGET'!H$21*L274,'00-BUDGET'!I$21*L274)</f>
        <v>12452.94973280552</v>
      </c>
      <c r="O274" s="8">
        <f>IF(E274=1,'00-BUDGET'!K$21*L274,'00-BUDGET'!L$21*L274)</f>
        <v>16603.93297707403</v>
      </c>
    </row>
    <row r="275" spans="1:15" ht="120" x14ac:dyDescent="0.3">
      <c r="A275" s="5" t="str">
        <f t="shared" si="28"/>
        <v>Fond. Nostra Signora del Rimedio – Centro S.Maria Bambina9</v>
      </c>
      <c r="B275" s="26" t="s">
        <v>71</v>
      </c>
      <c r="C275" s="26" t="s">
        <v>48</v>
      </c>
      <c r="D275" s="26" t="s">
        <v>138</v>
      </c>
      <c r="E275" s="26">
        <v>9</v>
      </c>
      <c r="F275" s="8">
        <v>9.6021640241071501E-2</v>
      </c>
      <c r="G275" s="27" t="str">
        <f t="shared" si="29"/>
        <v>Oristano9</v>
      </c>
      <c r="H275" s="28">
        <f t="shared" si="30"/>
        <v>5</v>
      </c>
      <c r="I275" s="28">
        <f t="shared" si="31"/>
        <v>60</v>
      </c>
      <c r="J275" s="8">
        <f t="shared" si="32"/>
        <v>0.91666666666666663</v>
      </c>
      <c r="K275" s="8">
        <f t="shared" si="33"/>
        <v>0.50634415345386907</v>
      </c>
      <c r="L275" s="29">
        <f t="shared" si="34"/>
        <v>3.165061901542132E-3</v>
      </c>
      <c r="M275" s="30">
        <f>IF(E275=1,'00-BUDGET'!E$21*L275,'00-BUDGET'!F$21*L275)</f>
        <v>8353.2637706556652</v>
      </c>
      <c r="N275" s="8">
        <f>IF(E275=1,'00-BUDGET'!H$21*L275,'00-BUDGET'!I$21*L275)</f>
        <v>12529.895655983502</v>
      </c>
      <c r="O275" s="8">
        <f>IF(E275=1,'00-BUDGET'!K$21*L275,'00-BUDGET'!L$21*L275)</f>
        <v>16706.527541311341</v>
      </c>
    </row>
    <row r="276" spans="1:15" ht="60" x14ac:dyDescent="0.3">
      <c r="A276" s="5" t="str">
        <f t="shared" si="28"/>
        <v>LOGOS ISILI7</v>
      </c>
      <c r="B276" s="26" t="s">
        <v>77</v>
      </c>
      <c r="C276" s="26" t="s">
        <v>35</v>
      </c>
      <c r="D276" s="26" t="s">
        <v>139</v>
      </c>
      <c r="E276" s="26">
        <v>7</v>
      </c>
      <c r="F276" s="8">
        <v>0.34343362439390401</v>
      </c>
      <c r="G276" s="27" t="str">
        <f t="shared" si="29"/>
        <v>Cagliari7</v>
      </c>
      <c r="H276" s="28">
        <f t="shared" si="30"/>
        <v>15</v>
      </c>
      <c r="I276" s="28">
        <f t="shared" si="31"/>
        <v>32</v>
      </c>
      <c r="J276" s="8">
        <f t="shared" si="32"/>
        <v>0.53125</v>
      </c>
      <c r="K276" s="8">
        <f t="shared" si="33"/>
        <v>0.43734181219695201</v>
      </c>
      <c r="L276" s="29">
        <f t="shared" si="34"/>
        <v>2.7337412672665076E-3</v>
      </c>
      <c r="M276" s="30">
        <f>IF(E276=1,'00-BUDGET'!E$21*L276,'00-BUDGET'!F$21*L276)</f>
        <v>7214.9179373323695</v>
      </c>
      <c r="N276" s="8">
        <f>IF(E276=1,'00-BUDGET'!H$21*L276,'00-BUDGET'!I$21*L276)</f>
        <v>10822.376905998557</v>
      </c>
      <c r="O276" s="8">
        <f>IF(E276=1,'00-BUDGET'!K$21*L276,'00-BUDGET'!L$21*L276)</f>
        <v>14429.835874664746</v>
      </c>
    </row>
    <row r="277" spans="1:15" ht="60" x14ac:dyDescent="0.3">
      <c r="A277" s="5" t="str">
        <f t="shared" si="28"/>
        <v>LOGOS ISILI8</v>
      </c>
      <c r="B277" s="26" t="s">
        <v>77</v>
      </c>
      <c r="C277" s="26" t="s">
        <v>35</v>
      </c>
      <c r="D277" s="26" t="s">
        <v>139</v>
      </c>
      <c r="E277" s="26">
        <v>8</v>
      </c>
      <c r="F277" s="8">
        <v>0.34343362439390401</v>
      </c>
      <c r="G277" s="27" t="str">
        <f t="shared" si="29"/>
        <v>Cagliari8</v>
      </c>
      <c r="H277" s="28">
        <f t="shared" si="30"/>
        <v>26</v>
      </c>
      <c r="I277" s="28">
        <f t="shared" si="31"/>
        <v>67</v>
      </c>
      <c r="J277" s="8">
        <f t="shared" si="32"/>
        <v>0.61194029850746268</v>
      </c>
      <c r="K277" s="8">
        <f t="shared" si="33"/>
        <v>0.47768696145068335</v>
      </c>
      <c r="L277" s="29">
        <f t="shared" si="34"/>
        <v>2.9859311937107747E-3</v>
      </c>
      <c r="M277" s="30">
        <f>IF(E277=1,'00-BUDGET'!E$21*L277,'00-BUDGET'!F$21*L277)</f>
        <v>7880.5001728219177</v>
      </c>
      <c r="N277" s="8">
        <f>IF(E277=1,'00-BUDGET'!H$21*L277,'00-BUDGET'!I$21*L277)</f>
        <v>11820.75025923288</v>
      </c>
      <c r="O277" s="8">
        <f>IF(E277=1,'00-BUDGET'!K$21*L277,'00-BUDGET'!L$21*L277)</f>
        <v>15761.000345643844</v>
      </c>
    </row>
    <row r="278" spans="1:15" ht="60" x14ac:dyDescent="0.3">
      <c r="A278" s="5" t="str">
        <f t="shared" si="28"/>
        <v>LOGOS ISILI9</v>
      </c>
      <c r="B278" s="26" t="s">
        <v>77</v>
      </c>
      <c r="C278" s="26" t="s">
        <v>35</v>
      </c>
      <c r="D278" s="26" t="s">
        <v>139</v>
      </c>
      <c r="E278" s="26">
        <v>9</v>
      </c>
      <c r="F278" s="8">
        <v>0.34343362439390401</v>
      </c>
      <c r="G278" s="27" t="str">
        <f t="shared" si="29"/>
        <v>Cagliari9</v>
      </c>
      <c r="H278" s="28">
        <f t="shared" si="30"/>
        <v>22</v>
      </c>
      <c r="I278" s="28">
        <f t="shared" si="31"/>
        <v>60</v>
      </c>
      <c r="J278" s="8">
        <f t="shared" si="32"/>
        <v>0.6333333333333333</v>
      </c>
      <c r="K278" s="8">
        <f t="shared" si="33"/>
        <v>0.48838347886361866</v>
      </c>
      <c r="L278" s="29">
        <f t="shared" si="34"/>
        <v>3.0527931086986961E-3</v>
      </c>
      <c r="M278" s="30">
        <f>IF(E278=1,'00-BUDGET'!E$21*L278,'00-BUDGET'!F$21*L278)</f>
        <v>8056.9628233100912</v>
      </c>
      <c r="N278" s="8">
        <f>IF(E278=1,'00-BUDGET'!H$21*L278,'00-BUDGET'!I$21*L278)</f>
        <v>12085.444234965142</v>
      </c>
      <c r="O278" s="8">
        <f>IF(E278=1,'00-BUDGET'!K$21*L278,'00-BUDGET'!L$21*L278)</f>
        <v>16113.925646620191</v>
      </c>
    </row>
    <row r="279" spans="1:15" ht="60" x14ac:dyDescent="0.3">
      <c r="A279" s="5" t="str">
        <f t="shared" si="28"/>
        <v>LOGOS MONSERRATO7</v>
      </c>
      <c r="B279" s="26" t="s">
        <v>77</v>
      </c>
      <c r="C279" s="26" t="s">
        <v>35</v>
      </c>
      <c r="D279" s="26" t="s">
        <v>140</v>
      </c>
      <c r="E279" s="26">
        <v>7</v>
      </c>
      <c r="F279" s="8">
        <v>0.34343362439390401</v>
      </c>
      <c r="G279" s="27" t="str">
        <f t="shared" si="29"/>
        <v>Cagliari7</v>
      </c>
      <c r="H279" s="28">
        <f t="shared" si="30"/>
        <v>15</v>
      </c>
      <c r="I279" s="28">
        <f t="shared" si="31"/>
        <v>32</v>
      </c>
      <c r="J279" s="8">
        <f t="shared" si="32"/>
        <v>0.53125</v>
      </c>
      <c r="K279" s="8">
        <f t="shared" si="33"/>
        <v>0.43734181219695201</v>
      </c>
      <c r="L279" s="29">
        <f t="shared" si="34"/>
        <v>2.7337412672665076E-3</v>
      </c>
      <c r="M279" s="30">
        <f>IF(E279=1,'00-BUDGET'!E$21*L279,'00-BUDGET'!F$21*L279)</f>
        <v>7214.9179373323695</v>
      </c>
      <c r="N279" s="8">
        <f>IF(E279=1,'00-BUDGET'!H$21*L279,'00-BUDGET'!I$21*L279)</f>
        <v>10822.376905998557</v>
      </c>
      <c r="O279" s="8">
        <f>IF(E279=1,'00-BUDGET'!K$21*L279,'00-BUDGET'!L$21*L279)</f>
        <v>14429.835874664746</v>
      </c>
    </row>
    <row r="280" spans="1:15" ht="60" x14ac:dyDescent="0.3">
      <c r="A280" s="5" t="str">
        <f t="shared" si="28"/>
        <v>LOGOS MONSERRATO8</v>
      </c>
      <c r="B280" s="26" t="s">
        <v>77</v>
      </c>
      <c r="C280" s="26" t="s">
        <v>35</v>
      </c>
      <c r="D280" s="26" t="s">
        <v>140</v>
      </c>
      <c r="E280" s="26">
        <v>8</v>
      </c>
      <c r="F280" s="8">
        <v>0.34343362439390401</v>
      </c>
      <c r="G280" s="27" t="str">
        <f t="shared" si="29"/>
        <v>Cagliari8</v>
      </c>
      <c r="H280" s="28">
        <f t="shared" si="30"/>
        <v>26</v>
      </c>
      <c r="I280" s="28">
        <f t="shared" si="31"/>
        <v>67</v>
      </c>
      <c r="J280" s="8">
        <f t="shared" si="32"/>
        <v>0.61194029850746268</v>
      </c>
      <c r="K280" s="8">
        <f t="shared" si="33"/>
        <v>0.47768696145068335</v>
      </c>
      <c r="L280" s="29">
        <f t="shared" si="34"/>
        <v>2.9859311937107747E-3</v>
      </c>
      <c r="M280" s="30">
        <f>IF(E280=1,'00-BUDGET'!E$21*L280,'00-BUDGET'!F$21*L280)</f>
        <v>7880.5001728219177</v>
      </c>
      <c r="N280" s="8">
        <f>IF(E280=1,'00-BUDGET'!H$21*L280,'00-BUDGET'!I$21*L280)</f>
        <v>11820.75025923288</v>
      </c>
      <c r="O280" s="8">
        <f>IF(E280=1,'00-BUDGET'!K$21*L280,'00-BUDGET'!L$21*L280)</f>
        <v>15761.000345643844</v>
      </c>
    </row>
    <row r="281" spans="1:15" ht="60" x14ac:dyDescent="0.3">
      <c r="A281" s="5" t="str">
        <f t="shared" si="28"/>
        <v>LOGOS MONSERRATO9</v>
      </c>
      <c r="B281" s="26" t="s">
        <v>77</v>
      </c>
      <c r="C281" s="26" t="s">
        <v>35</v>
      </c>
      <c r="D281" s="26" t="s">
        <v>140</v>
      </c>
      <c r="E281" s="26">
        <v>9</v>
      </c>
      <c r="F281" s="8">
        <v>0.34343362439390401</v>
      </c>
      <c r="G281" s="27" t="str">
        <f t="shared" si="29"/>
        <v>Cagliari9</v>
      </c>
      <c r="H281" s="28">
        <f t="shared" si="30"/>
        <v>22</v>
      </c>
      <c r="I281" s="28">
        <f t="shared" si="31"/>
        <v>60</v>
      </c>
      <c r="J281" s="8">
        <f t="shared" si="32"/>
        <v>0.6333333333333333</v>
      </c>
      <c r="K281" s="8">
        <f t="shared" si="33"/>
        <v>0.48838347886361866</v>
      </c>
      <c r="L281" s="29">
        <f t="shared" si="34"/>
        <v>3.0527931086986961E-3</v>
      </c>
      <c r="M281" s="30">
        <f>IF(E281=1,'00-BUDGET'!E$21*L281,'00-BUDGET'!F$21*L281)</f>
        <v>8056.9628233100912</v>
      </c>
      <c r="N281" s="8">
        <f>IF(E281=1,'00-BUDGET'!H$21*L281,'00-BUDGET'!I$21*L281)</f>
        <v>12085.444234965142</v>
      </c>
      <c r="O281" s="8">
        <f>IF(E281=1,'00-BUDGET'!K$21*L281,'00-BUDGET'!L$21*L281)</f>
        <v>16113.925646620191</v>
      </c>
    </row>
    <row r="282" spans="1:15" ht="60" x14ac:dyDescent="0.3">
      <c r="A282" s="5" t="str">
        <f t="shared" si="28"/>
        <v>LOGOS MONSERRATO10</v>
      </c>
      <c r="B282" s="26" t="s">
        <v>77</v>
      </c>
      <c r="C282" s="26" t="s">
        <v>35</v>
      </c>
      <c r="D282" s="26" t="s">
        <v>140</v>
      </c>
      <c r="E282" s="26">
        <v>10</v>
      </c>
      <c r="F282" s="8">
        <v>0.34343362439390401</v>
      </c>
      <c r="G282" s="27" t="str">
        <f t="shared" si="29"/>
        <v>Cagliari10</v>
      </c>
      <c r="H282" s="28">
        <f t="shared" si="30"/>
        <v>26</v>
      </c>
      <c r="I282" s="28">
        <f t="shared" si="31"/>
        <v>65</v>
      </c>
      <c r="J282" s="8">
        <f t="shared" si="32"/>
        <v>0.6</v>
      </c>
      <c r="K282" s="8">
        <f t="shared" si="33"/>
        <v>0.471716812196952</v>
      </c>
      <c r="L282" s="29">
        <f t="shared" si="34"/>
        <v>2.9486129155779812E-3</v>
      </c>
      <c r="M282" s="30">
        <f>IF(E282=1,'00-BUDGET'!E$21*L282,'00-BUDGET'!F$21*L282)</f>
        <v>7782.0093911540998</v>
      </c>
      <c r="N282" s="8">
        <f>IF(E282=1,'00-BUDGET'!H$21*L282,'00-BUDGET'!I$21*L282)</f>
        <v>11673.014086731153</v>
      </c>
      <c r="O282" s="8">
        <f>IF(E282=1,'00-BUDGET'!K$21*L282,'00-BUDGET'!L$21*L282)</f>
        <v>15564.018782308207</v>
      </c>
    </row>
    <row r="283" spans="1:15" ht="60" x14ac:dyDescent="0.3">
      <c r="A283" s="5" t="str">
        <f t="shared" si="28"/>
        <v>LOGOS MONSERRATO11</v>
      </c>
      <c r="B283" s="26" t="s">
        <v>77</v>
      </c>
      <c r="C283" s="26" t="s">
        <v>35</v>
      </c>
      <c r="D283" s="26" t="s">
        <v>140</v>
      </c>
      <c r="E283" s="26">
        <v>11</v>
      </c>
      <c r="F283" s="8">
        <v>0.34343362439390401</v>
      </c>
      <c r="G283" s="27" t="str">
        <f t="shared" si="29"/>
        <v>Cagliari11</v>
      </c>
      <c r="H283" s="28">
        <f t="shared" si="30"/>
        <v>19</v>
      </c>
      <c r="I283" s="28">
        <f t="shared" si="31"/>
        <v>56</v>
      </c>
      <c r="J283" s="8">
        <f t="shared" si="32"/>
        <v>0.6607142857142857</v>
      </c>
      <c r="K283" s="8">
        <f t="shared" si="33"/>
        <v>0.50207395505409491</v>
      </c>
      <c r="L283" s="29">
        <f t="shared" si="34"/>
        <v>3.1383696959049979E-3</v>
      </c>
      <c r="M283" s="30">
        <f>IF(E283=1,'00-BUDGET'!E$21*L283,'00-BUDGET'!F$21*L283)</f>
        <v>8282.8174282953714</v>
      </c>
      <c r="N283" s="8">
        <f>IF(E283=1,'00-BUDGET'!H$21*L283,'00-BUDGET'!I$21*L283)</f>
        <v>12424.22614244306</v>
      </c>
      <c r="O283" s="8">
        <f>IF(E283=1,'00-BUDGET'!K$21*L283,'00-BUDGET'!L$21*L283)</f>
        <v>16565.63485659075</v>
      </c>
    </row>
    <row r="284" spans="1:15" ht="60" x14ac:dyDescent="0.3">
      <c r="A284" s="5" t="str">
        <f t="shared" si="28"/>
        <v>LOGOS SESTU7</v>
      </c>
      <c r="B284" s="26" t="s">
        <v>77</v>
      </c>
      <c r="C284" s="26" t="s">
        <v>35</v>
      </c>
      <c r="D284" s="26" t="s">
        <v>141</v>
      </c>
      <c r="E284" s="26">
        <v>7</v>
      </c>
      <c r="F284" s="8">
        <v>0.34343362439390401</v>
      </c>
      <c r="G284" s="27" t="str">
        <f t="shared" si="29"/>
        <v>Cagliari7</v>
      </c>
      <c r="H284" s="28">
        <f t="shared" si="30"/>
        <v>15</v>
      </c>
      <c r="I284" s="28">
        <f t="shared" si="31"/>
        <v>32</v>
      </c>
      <c r="J284" s="8">
        <f t="shared" si="32"/>
        <v>0.53125</v>
      </c>
      <c r="K284" s="8">
        <f t="shared" si="33"/>
        <v>0.43734181219695201</v>
      </c>
      <c r="L284" s="29">
        <f t="shared" si="34"/>
        <v>2.7337412672665076E-3</v>
      </c>
      <c r="M284" s="30">
        <f>IF(E284=1,'00-BUDGET'!E$21*L284,'00-BUDGET'!F$21*L284)</f>
        <v>7214.9179373323695</v>
      </c>
      <c r="N284" s="8">
        <f>IF(E284=1,'00-BUDGET'!H$21*L284,'00-BUDGET'!I$21*L284)</f>
        <v>10822.376905998557</v>
      </c>
      <c r="O284" s="8">
        <f>IF(E284=1,'00-BUDGET'!K$21*L284,'00-BUDGET'!L$21*L284)</f>
        <v>14429.835874664746</v>
      </c>
    </row>
    <row r="285" spans="1:15" ht="60" x14ac:dyDescent="0.3">
      <c r="A285" s="5" t="str">
        <f t="shared" si="28"/>
        <v>LOGOS SESTU8</v>
      </c>
      <c r="B285" s="26" t="s">
        <v>77</v>
      </c>
      <c r="C285" s="26" t="s">
        <v>35</v>
      </c>
      <c r="D285" s="26" t="s">
        <v>141</v>
      </c>
      <c r="E285" s="26">
        <v>8</v>
      </c>
      <c r="F285" s="8">
        <v>0.34343362439390401</v>
      </c>
      <c r="G285" s="27" t="str">
        <f t="shared" si="29"/>
        <v>Cagliari8</v>
      </c>
      <c r="H285" s="28">
        <f t="shared" si="30"/>
        <v>26</v>
      </c>
      <c r="I285" s="28">
        <f t="shared" si="31"/>
        <v>67</v>
      </c>
      <c r="J285" s="8">
        <f t="shared" si="32"/>
        <v>0.61194029850746268</v>
      </c>
      <c r="K285" s="8">
        <f t="shared" si="33"/>
        <v>0.47768696145068335</v>
      </c>
      <c r="L285" s="29">
        <f t="shared" si="34"/>
        <v>2.9859311937107747E-3</v>
      </c>
      <c r="M285" s="30">
        <f>IF(E285=1,'00-BUDGET'!E$21*L285,'00-BUDGET'!F$21*L285)</f>
        <v>7880.5001728219177</v>
      </c>
      <c r="N285" s="8">
        <f>IF(E285=1,'00-BUDGET'!H$21*L285,'00-BUDGET'!I$21*L285)</f>
        <v>11820.75025923288</v>
      </c>
      <c r="O285" s="8">
        <f>IF(E285=1,'00-BUDGET'!K$21*L285,'00-BUDGET'!L$21*L285)</f>
        <v>15761.000345643844</v>
      </c>
    </row>
    <row r="286" spans="1:15" ht="75" x14ac:dyDescent="0.3">
      <c r="A286" s="5" t="str">
        <f t="shared" si="28"/>
        <v>OPERA GESU' NAZARENO3</v>
      </c>
      <c r="B286" s="26" t="s">
        <v>81</v>
      </c>
      <c r="C286" s="26" t="s">
        <v>49</v>
      </c>
      <c r="D286" s="26" t="s">
        <v>142</v>
      </c>
      <c r="E286" s="26">
        <v>3</v>
      </c>
      <c r="F286" s="8">
        <v>0.20051177607843701</v>
      </c>
      <c r="G286" s="27" t="str">
        <f t="shared" si="29"/>
        <v>Sassari3</v>
      </c>
      <c r="H286" s="28">
        <f t="shared" si="30"/>
        <v>2</v>
      </c>
      <c r="I286" s="28">
        <f t="shared" si="31"/>
        <v>10</v>
      </c>
      <c r="J286" s="8">
        <f t="shared" si="32"/>
        <v>0.8</v>
      </c>
      <c r="K286" s="8">
        <f t="shared" si="33"/>
        <v>0.5002558880392185</v>
      </c>
      <c r="L286" s="29">
        <f t="shared" si="34"/>
        <v>3.1270053015420244E-3</v>
      </c>
      <c r="M286" s="30">
        <f>IF(E286=1,'00-BUDGET'!E$21*L286,'00-BUDGET'!F$21*L286)</f>
        <v>8252.8244023575789</v>
      </c>
      <c r="N286" s="8">
        <f>IF(E286=1,'00-BUDGET'!H$21*L286,'00-BUDGET'!I$21*L286)</f>
        <v>12379.236603536372</v>
      </c>
      <c r="O286" s="8">
        <f>IF(E286=1,'00-BUDGET'!K$21*L286,'00-BUDGET'!L$21*L286)</f>
        <v>16505.648804715165</v>
      </c>
    </row>
    <row r="287" spans="1:15" ht="75" x14ac:dyDescent="0.3">
      <c r="A287" s="5" t="str">
        <f t="shared" si="28"/>
        <v>OPERA GESU' NAZARENO5</v>
      </c>
      <c r="B287" s="26" t="s">
        <v>81</v>
      </c>
      <c r="C287" s="26" t="s">
        <v>49</v>
      </c>
      <c r="D287" s="26" t="s">
        <v>142</v>
      </c>
      <c r="E287" s="26">
        <v>5</v>
      </c>
      <c r="F287" s="8">
        <v>0.20051177607843701</v>
      </c>
      <c r="G287" s="27" t="str">
        <f t="shared" si="29"/>
        <v>Sassari5</v>
      </c>
      <c r="H287" s="28">
        <f t="shared" si="30"/>
        <v>3</v>
      </c>
      <c r="I287" s="28">
        <f t="shared" si="31"/>
        <v>23</v>
      </c>
      <c r="J287" s="8">
        <f t="shared" si="32"/>
        <v>0.86956521739130432</v>
      </c>
      <c r="K287" s="8">
        <f t="shared" si="33"/>
        <v>0.53503849673487069</v>
      </c>
      <c r="L287" s="29">
        <f t="shared" si="34"/>
        <v>3.3444248350113421E-3</v>
      </c>
      <c r="M287" s="30">
        <f>IF(E287=1,'00-BUDGET'!E$21*L287,'00-BUDGET'!F$21*L287)</f>
        <v>8826.640260770082</v>
      </c>
      <c r="N287" s="8">
        <f>IF(E287=1,'00-BUDGET'!H$21*L287,'00-BUDGET'!I$21*L287)</f>
        <v>13239.960391155128</v>
      </c>
      <c r="O287" s="8">
        <f>IF(E287=1,'00-BUDGET'!K$21*L287,'00-BUDGET'!L$21*L287)</f>
        <v>17653.280521540175</v>
      </c>
    </row>
    <row r="288" spans="1:15" ht="75" x14ac:dyDescent="0.3">
      <c r="A288" s="5" t="str">
        <f t="shared" si="28"/>
        <v>OPERA GESU' NAZARENO6</v>
      </c>
      <c r="B288" s="26" t="s">
        <v>81</v>
      </c>
      <c r="C288" s="26" t="s">
        <v>49</v>
      </c>
      <c r="D288" s="26" t="s">
        <v>142</v>
      </c>
      <c r="E288" s="26">
        <v>6</v>
      </c>
      <c r="F288" s="8">
        <v>0.20051177607843701</v>
      </c>
      <c r="G288" s="27" t="str">
        <f t="shared" si="29"/>
        <v>Sassari6</v>
      </c>
      <c r="H288" s="28">
        <f t="shared" si="30"/>
        <v>1</v>
      </c>
      <c r="I288" s="28">
        <f t="shared" si="31"/>
        <v>5</v>
      </c>
      <c r="J288" s="8">
        <f t="shared" si="32"/>
        <v>0.8</v>
      </c>
      <c r="K288" s="8">
        <f t="shared" si="33"/>
        <v>0.5002558880392185</v>
      </c>
      <c r="L288" s="29">
        <f t="shared" si="34"/>
        <v>3.1270053015420244E-3</v>
      </c>
      <c r="M288" s="30">
        <f>IF(E288=1,'00-BUDGET'!E$21*L288,'00-BUDGET'!F$21*L288)</f>
        <v>8252.8244023575789</v>
      </c>
      <c r="N288" s="8">
        <f>IF(E288=1,'00-BUDGET'!H$21*L288,'00-BUDGET'!I$21*L288)</f>
        <v>12379.236603536372</v>
      </c>
      <c r="O288" s="8">
        <f>IF(E288=1,'00-BUDGET'!K$21*L288,'00-BUDGET'!L$21*L288)</f>
        <v>16505.648804715165</v>
      </c>
    </row>
    <row r="289" spans="1:15" ht="30" x14ac:dyDescent="0.3">
      <c r="A289" s="5" t="str">
        <f t="shared" si="28"/>
        <v>Smeralda Padru Centro di Riabilitazione2</v>
      </c>
      <c r="B289" s="26" t="s">
        <v>79</v>
      </c>
      <c r="C289" s="26" t="s">
        <v>51</v>
      </c>
      <c r="D289" s="26" t="s">
        <v>143</v>
      </c>
      <c r="E289" s="26">
        <v>2</v>
      </c>
      <c r="F289" s="8">
        <v>9.9672234005895102E-2</v>
      </c>
      <c r="G289" s="27" t="str">
        <f t="shared" si="29"/>
        <v>Gallura2</v>
      </c>
      <c r="H289" s="28">
        <f t="shared" si="30"/>
        <v>1</v>
      </c>
      <c r="I289" s="28">
        <f t="shared" si="31"/>
        <v>5</v>
      </c>
      <c r="J289" s="8">
        <f t="shared" si="32"/>
        <v>0.8</v>
      </c>
      <c r="K289" s="8">
        <f t="shared" si="33"/>
        <v>0.44983611700294757</v>
      </c>
      <c r="L289" s="29">
        <f t="shared" si="34"/>
        <v>2.8118408125223687E-3</v>
      </c>
      <c r="M289" s="30">
        <f>IF(E289=1,'00-BUDGET'!E$21*L289,'00-BUDGET'!F$21*L289)</f>
        <v>7421.0390566610631</v>
      </c>
      <c r="N289" s="8">
        <f>IF(E289=1,'00-BUDGET'!H$21*L289,'00-BUDGET'!I$21*L289)</f>
        <v>11131.558584991599</v>
      </c>
      <c r="O289" s="8">
        <f>IF(E289=1,'00-BUDGET'!K$21*L289,'00-BUDGET'!L$21*L289)</f>
        <v>14842.078113322134</v>
      </c>
    </row>
    <row r="290" spans="1:15" ht="45" x14ac:dyDescent="0.3">
      <c r="A290" s="5" t="str">
        <f t="shared" si="28"/>
        <v>Studio FKT Mele Olbia7</v>
      </c>
      <c r="B290" s="26" t="s">
        <v>79</v>
      </c>
      <c r="C290" s="26" t="s">
        <v>52</v>
      </c>
      <c r="D290" s="26" t="s">
        <v>144</v>
      </c>
      <c r="E290" s="26">
        <v>7</v>
      </c>
      <c r="F290" s="8">
        <v>9.9672234005895102E-2</v>
      </c>
      <c r="G290" s="27" t="str">
        <f t="shared" si="29"/>
        <v>Gallura7</v>
      </c>
      <c r="H290" s="28">
        <f t="shared" si="30"/>
        <v>5</v>
      </c>
      <c r="I290" s="28">
        <f t="shared" si="31"/>
        <v>32</v>
      </c>
      <c r="J290" s="8">
        <f t="shared" si="32"/>
        <v>0.84375</v>
      </c>
      <c r="K290" s="8">
        <f t="shared" si="33"/>
        <v>0.47171111700294754</v>
      </c>
      <c r="L290" s="29">
        <f t="shared" si="34"/>
        <v>2.948577315993307E-3</v>
      </c>
      <c r="M290" s="30">
        <f>IF(E290=1,'00-BUDGET'!E$21*L290,'00-BUDGET'!F$21*L290)</f>
        <v>7781.9154363658017</v>
      </c>
      <c r="N290" s="8">
        <f>IF(E290=1,'00-BUDGET'!H$21*L290,'00-BUDGET'!I$21*L290)</f>
        <v>11672.873154548706</v>
      </c>
      <c r="O290" s="8">
        <f>IF(E290=1,'00-BUDGET'!K$21*L290,'00-BUDGET'!L$21*L290)</f>
        <v>15563.830872731611</v>
      </c>
    </row>
    <row r="291" spans="1:15" ht="45" x14ac:dyDescent="0.3">
      <c r="A291" s="5" t="str">
        <f t="shared" si="28"/>
        <v>Studio FKT Mele Olbia8</v>
      </c>
      <c r="B291" s="26" t="s">
        <v>79</v>
      </c>
      <c r="C291" s="26" t="s">
        <v>52</v>
      </c>
      <c r="D291" s="26" t="s">
        <v>144</v>
      </c>
      <c r="E291" s="26">
        <v>8</v>
      </c>
      <c r="F291" s="8">
        <v>9.9672234005895102E-2</v>
      </c>
      <c r="G291" s="27" t="str">
        <f t="shared" si="29"/>
        <v>Gallura8</v>
      </c>
      <c r="H291" s="28">
        <f t="shared" si="30"/>
        <v>9</v>
      </c>
      <c r="I291" s="28">
        <f t="shared" si="31"/>
        <v>67</v>
      </c>
      <c r="J291" s="8">
        <f t="shared" si="32"/>
        <v>0.86567164179104483</v>
      </c>
      <c r="K291" s="8">
        <f t="shared" si="33"/>
        <v>0.48267193789846996</v>
      </c>
      <c r="L291" s="29">
        <f t="shared" si="34"/>
        <v>3.0170913422527322E-3</v>
      </c>
      <c r="M291" s="30">
        <f>IF(E291=1,'00-BUDGET'!E$21*L291,'00-BUDGET'!F$21*L291)</f>
        <v>7962.7383558340607</v>
      </c>
      <c r="N291" s="8">
        <f>IF(E291=1,'00-BUDGET'!H$21*L291,'00-BUDGET'!I$21*L291)</f>
        <v>11944.107533751096</v>
      </c>
      <c r="O291" s="8">
        <f>IF(E291=1,'00-BUDGET'!K$21*L291,'00-BUDGET'!L$21*L291)</f>
        <v>15925.476711668129</v>
      </c>
    </row>
    <row r="292" spans="1:15" ht="45" x14ac:dyDescent="0.3">
      <c r="A292" s="5" t="str">
        <f t="shared" si="28"/>
        <v>Studio FKT Mele Olbia9</v>
      </c>
      <c r="B292" s="26" t="s">
        <v>79</v>
      </c>
      <c r="C292" s="26" t="s">
        <v>52</v>
      </c>
      <c r="D292" s="26" t="s">
        <v>144</v>
      </c>
      <c r="E292" s="26">
        <v>9</v>
      </c>
      <c r="F292" s="8">
        <v>9.9672234005895102E-2</v>
      </c>
      <c r="G292" s="27" t="str">
        <f t="shared" si="29"/>
        <v>Gallura9</v>
      </c>
      <c r="H292" s="28">
        <f t="shared" si="30"/>
        <v>8</v>
      </c>
      <c r="I292" s="28">
        <f t="shared" si="31"/>
        <v>60</v>
      </c>
      <c r="J292" s="8">
        <f t="shared" si="32"/>
        <v>0.8666666666666667</v>
      </c>
      <c r="K292" s="8">
        <f t="shared" si="33"/>
        <v>0.48316945033628089</v>
      </c>
      <c r="L292" s="29">
        <f t="shared" si="34"/>
        <v>3.0202011987637981E-3</v>
      </c>
      <c r="M292" s="30">
        <f>IF(E292=1,'00-BUDGET'!E$21*L292,'00-BUDGET'!F$21*L292)</f>
        <v>7970.9459209730448</v>
      </c>
      <c r="N292" s="8">
        <f>IF(E292=1,'00-BUDGET'!H$21*L292,'00-BUDGET'!I$21*L292)</f>
        <v>11956.418881459571</v>
      </c>
      <c r="O292" s="8">
        <f>IF(E292=1,'00-BUDGET'!K$21*L292,'00-BUDGET'!L$21*L292)</f>
        <v>15941.891841946099</v>
      </c>
    </row>
    <row r="293" spans="1:15" ht="45" x14ac:dyDescent="0.3">
      <c r="A293" s="5" t="str">
        <f t="shared" si="28"/>
        <v>Studio FKT Mele Olbia10</v>
      </c>
      <c r="B293" s="26" t="s">
        <v>79</v>
      </c>
      <c r="C293" s="26" t="s">
        <v>52</v>
      </c>
      <c r="D293" s="26" t="s">
        <v>144</v>
      </c>
      <c r="E293" s="26">
        <v>10</v>
      </c>
      <c r="F293" s="8">
        <v>9.9672234005895102E-2</v>
      </c>
      <c r="G293" s="27" t="str">
        <f t="shared" si="29"/>
        <v>Gallura10</v>
      </c>
      <c r="H293" s="28">
        <f t="shared" si="30"/>
        <v>9</v>
      </c>
      <c r="I293" s="28">
        <f t="shared" si="31"/>
        <v>65</v>
      </c>
      <c r="J293" s="8">
        <f t="shared" si="32"/>
        <v>0.86153846153846159</v>
      </c>
      <c r="K293" s="8">
        <f t="shared" si="33"/>
        <v>0.48060534777217834</v>
      </c>
      <c r="L293" s="29">
        <f t="shared" si="34"/>
        <v>3.0041734767452268E-3</v>
      </c>
      <c r="M293" s="30">
        <f>IF(E293=1,'00-BUDGET'!E$21*L293,'00-BUDGET'!F$21*L293)</f>
        <v>7928.6453929490472</v>
      </c>
      <c r="N293" s="8">
        <f>IF(E293=1,'00-BUDGET'!H$21*L293,'00-BUDGET'!I$21*L293)</f>
        <v>11892.968089423573</v>
      </c>
      <c r="O293" s="8">
        <f>IF(E293=1,'00-BUDGET'!K$21*L293,'00-BUDGET'!L$21*L293)</f>
        <v>15857.290785898102</v>
      </c>
    </row>
    <row r="294" spans="1:15" ht="45" x14ac:dyDescent="0.3">
      <c r="A294" s="5" t="str">
        <f t="shared" si="28"/>
        <v>Studio FKT Mele Olbia11</v>
      </c>
      <c r="B294" s="26" t="s">
        <v>79</v>
      </c>
      <c r="C294" s="26" t="s">
        <v>52</v>
      </c>
      <c r="D294" s="26" t="s">
        <v>144</v>
      </c>
      <c r="E294" s="26">
        <v>11</v>
      </c>
      <c r="F294" s="8">
        <v>9.9672234005895102E-2</v>
      </c>
      <c r="G294" s="27" t="str">
        <f t="shared" si="29"/>
        <v>Gallura11</v>
      </c>
      <c r="H294" s="28">
        <f t="shared" si="30"/>
        <v>8</v>
      </c>
      <c r="I294" s="28">
        <f t="shared" si="31"/>
        <v>56</v>
      </c>
      <c r="J294" s="8">
        <f t="shared" si="32"/>
        <v>0.85714285714285721</v>
      </c>
      <c r="K294" s="8">
        <f t="shared" si="33"/>
        <v>0.47840754557437615</v>
      </c>
      <c r="L294" s="29">
        <f t="shared" si="34"/>
        <v>2.9904354293007369E-3</v>
      </c>
      <c r="M294" s="30">
        <f>IF(E294=1,'00-BUDGET'!E$21*L294,'00-BUDGET'!F$21*L294)</f>
        <v>7892.387797499905</v>
      </c>
      <c r="N294" s="8">
        <f>IF(E294=1,'00-BUDGET'!H$21*L294,'00-BUDGET'!I$21*L294)</f>
        <v>11838.581696249861</v>
      </c>
      <c r="O294" s="8">
        <f>IF(E294=1,'00-BUDGET'!K$21*L294,'00-BUDGET'!L$21*L294)</f>
        <v>15784.775594999819</v>
      </c>
    </row>
    <row r="295" spans="1:15" ht="30" x14ac:dyDescent="0.3">
      <c r="A295" s="5" t="str">
        <f t="shared" si="28"/>
        <v>TAMPONI FKT Gallura Olbia7</v>
      </c>
      <c r="B295" s="26" t="s">
        <v>79</v>
      </c>
      <c r="C295" s="26" t="s">
        <v>53</v>
      </c>
      <c r="D295" s="26" t="s">
        <v>145</v>
      </c>
      <c r="E295" s="26">
        <v>7</v>
      </c>
      <c r="F295" s="8">
        <v>9.9672234005895102E-2</v>
      </c>
      <c r="G295" s="27" t="str">
        <f t="shared" si="29"/>
        <v>Gallura7</v>
      </c>
      <c r="H295" s="28">
        <f t="shared" si="30"/>
        <v>5</v>
      </c>
      <c r="I295" s="28">
        <f t="shared" si="31"/>
        <v>32</v>
      </c>
      <c r="J295" s="8">
        <f t="shared" si="32"/>
        <v>0.84375</v>
      </c>
      <c r="K295" s="8">
        <f t="shared" si="33"/>
        <v>0.47171111700294754</v>
      </c>
      <c r="L295" s="29">
        <f t="shared" si="34"/>
        <v>2.948577315993307E-3</v>
      </c>
      <c r="M295" s="30">
        <f>IF(E295=1,'00-BUDGET'!E$21*L295,'00-BUDGET'!F$21*L295)</f>
        <v>7781.9154363658017</v>
      </c>
      <c r="N295" s="8">
        <f>IF(E295=1,'00-BUDGET'!H$21*L295,'00-BUDGET'!I$21*L295)</f>
        <v>11672.873154548706</v>
      </c>
      <c r="O295" s="8">
        <f>IF(E295=1,'00-BUDGET'!K$21*L295,'00-BUDGET'!L$21*L295)</f>
        <v>15563.830872731611</v>
      </c>
    </row>
    <row r="296" spans="1:15" ht="30" x14ac:dyDescent="0.3">
      <c r="A296" s="5" t="str">
        <f t="shared" si="28"/>
        <v>TAMPONI FKT Gallura Olbia8</v>
      </c>
      <c r="B296" s="26" t="s">
        <v>79</v>
      </c>
      <c r="C296" s="26" t="s">
        <v>53</v>
      </c>
      <c r="D296" s="26" t="s">
        <v>145</v>
      </c>
      <c r="E296" s="26">
        <v>8</v>
      </c>
      <c r="F296" s="8">
        <v>9.9672234005895102E-2</v>
      </c>
      <c r="G296" s="27" t="str">
        <f t="shared" si="29"/>
        <v>Gallura8</v>
      </c>
      <c r="H296" s="28">
        <f t="shared" si="30"/>
        <v>9</v>
      </c>
      <c r="I296" s="28">
        <f t="shared" si="31"/>
        <v>67</v>
      </c>
      <c r="J296" s="8">
        <f t="shared" si="32"/>
        <v>0.86567164179104483</v>
      </c>
      <c r="K296" s="8">
        <f t="shared" si="33"/>
        <v>0.48267193789846996</v>
      </c>
      <c r="L296" s="29">
        <f t="shared" si="34"/>
        <v>3.0170913422527322E-3</v>
      </c>
      <c r="M296" s="30">
        <f>IF(E296=1,'00-BUDGET'!E$21*L296,'00-BUDGET'!F$21*L296)</f>
        <v>7962.7383558340607</v>
      </c>
      <c r="N296" s="8">
        <f>IF(E296=1,'00-BUDGET'!H$21*L296,'00-BUDGET'!I$21*L296)</f>
        <v>11944.107533751096</v>
      </c>
      <c r="O296" s="8">
        <f>IF(E296=1,'00-BUDGET'!K$21*L296,'00-BUDGET'!L$21*L296)</f>
        <v>15925.476711668129</v>
      </c>
    </row>
    <row r="297" spans="1:15" ht="30" x14ac:dyDescent="0.3">
      <c r="A297" s="5" t="str">
        <f t="shared" si="28"/>
        <v>TAMPONI FKT Gallura Olbia9</v>
      </c>
      <c r="B297" s="26" t="s">
        <v>79</v>
      </c>
      <c r="C297" s="26" t="s">
        <v>53</v>
      </c>
      <c r="D297" s="26" t="s">
        <v>145</v>
      </c>
      <c r="E297" s="26">
        <v>9</v>
      </c>
      <c r="F297" s="8">
        <v>9.9672234005895102E-2</v>
      </c>
      <c r="G297" s="27" t="str">
        <f t="shared" si="29"/>
        <v>Gallura9</v>
      </c>
      <c r="H297" s="28">
        <f t="shared" si="30"/>
        <v>8</v>
      </c>
      <c r="I297" s="28">
        <f t="shared" si="31"/>
        <v>60</v>
      </c>
      <c r="J297" s="8">
        <f t="shared" si="32"/>
        <v>0.8666666666666667</v>
      </c>
      <c r="K297" s="8">
        <f t="shared" si="33"/>
        <v>0.48316945033628089</v>
      </c>
      <c r="L297" s="29">
        <f t="shared" si="34"/>
        <v>3.0202011987637981E-3</v>
      </c>
      <c r="M297" s="30">
        <f>IF(E297=1,'00-BUDGET'!E$21*L297,'00-BUDGET'!F$21*L297)</f>
        <v>7970.9459209730448</v>
      </c>
      <c r="N297" s="8">
        <f>IF(E297=1,'00-BUDGET'!H$21*L297,'00-BUDGET'!I$21*L297)</f>
        <v>11956.418881459571</v>
      </c>
      <c r="O297" s="8">
        <f>IF(E297=1,'00-BUDGET'!K$21*L297,'00-BUDGET'!L$21*L297)</f>
        <v>15941.891841946099</v>
      </c>
    </row>
    <row r="298" spans="1:15" ht="30" x14ac:dyDescent="0.3">
      <c r="A298" s="5" t="str">
        <f t="shared" si="28"/>
        <v>TAMPONI FKT Gallura Olbia10</v>
      </c>
      <c r="B298" s="26" t="s">
        <v>79</v>
      </c>
      <c r="C298" s="26" t="s">
        <v>53</v>
      </c>
      <c r="D298" s="26" t="s">
        <v>145</v>
      </c>
      <c r="E298" s="26">
        <v>10</v>
      </c>
      <c r="F298" s="8">
        <v>9.9672234005895102E-2</v>
      </c>
      <c r="G298" s="27" t="str">
        <f t="shared" si="29"/>
        <v>Gallura10</v>
      </c>
      <c r="H298" s="28">
        <f t="shared" si="30"/>
        <v>9</v>
      </c>
      <c r="I298" s="28">
        <f t="shared" si="31"/>
        <v>65</v>
      </c>
      <c r="J298" s="8">
        <f t="shared" si="32"/>
        <v>0.86153846153846159</v>
      </c>
      <c r="K298" s="8">
        <f t="shared" si="33"/>
        <v>0.48060534777217834</v>
      </c>
      <c r="L298" s="29">
        <f t="shared" si="34"/>
        <v>3.0041734767452268E-3</v>
      </c>
      <c r="M298" s="30">
        <f>IF(E298=1,'00-BUDGET'!E$21*L298,'00-BUDGET'!F$21*L298)</f>
        <v>7928.6453929490472</v>
      </c>
      <c r="N298" s="8">
        <f>IF(E298=1,'00-BUDGET'!H$21*L298,'00-BUDGET'!I$21*L298)</f>
        <v>11892.968089423573</v>
      </c>
      <c r="O298" s="8">
        <f>IF(E298=1,'00-BUDGET'!K$21*L298,'00-BUDGET'!L$21*L298)</f>
        <v>15857.290785898102</v>
      </c>
    </row>
    <row r="299" spans="1:15" ht="30" x14ac:dyDescent="0.3">
      <c r="A299" s="5" t="str">
        <f t="shared" si="28"/>
        <v>TAMPONI FKT Gallura Olbia11</v>
      </c>
      <c r="B299" s="26" t="s">
        <v>79</v>
      </c>
      <c r="C299" s="26" t="s">
        <v>53</v>
      </c>
      <c r="D299" s="26" t="s">
        <v>145</v>
      </c>
      <c r="E299" s="26">
        <v>11</v>
      </c>
      <c r="F299" s="8">
        <v>9.9672234005895102E-2</v>
      </c>
      <c r="G299" s="27" t="str">
        <f t="shared" si="29"/>
        <v>Gallura11</v>
      </c>
      <c r="H299" s="28">
        <f t="shared" si="30"/>
        <v>8</v>
      </c>
      <c r="I299" s="28">
        <f t="shared" si="31"/>
        <v>56</v>
      </c>
      <c r="J299" s="8">
        <f t="shared" si="32"/>
        <v>0.85714285714285721</v>
      </c>
      <c r="K299" s="8">
        <f t="shared" si="33"/>
        <v>0.47840754557437615</v>
      </c>
      <c r="L299" s="29">
        <f t="shared" si="34"/>
        <v>2.9904354293007369E-3</v>
      </c>
      <c r="M299" s="30">
        <f>IF(E299=1,'00-BUDGET'!E$21*L299,'00-BUDGET'!F$21*L299)</f>
        <v>7892.387797499905</v>
      </c>
      <c r="N299" s="8">
        <f>IF(E299=1,'00-BUDGET'!H$21*L299,'00-BUDGET'!I$21*L299)</f>
        <v>11838.581696249861</v>
      </c>
      <c r="O299" s="8">
        <f>IF(E299=1,'00-BUDGET'!K$21*L299,'00-BUDGET'!L$21*L299)</f>
        <v>15784.775594999819</v>
      </c>
    </row>
    <row r="300" spans="1:15" ht="30" x14ac:dyDescent="0.3">
      <c r="A300" s="5" t="str">
        <f t="shared" si="28"/>
        <v>TAMPONI FKT Gallura Arzachena7</v>
      </c>
      <c r="B300" s="26" t="s">
        <v>79</v>
      </c>
      <c r="C300" s="26" t="s">
        <v>53</v>
      </c>
      <c r="D300" s="26" t="s">
        <v>146</v>
      </c>
      <c r="E300" s="26">
        <v>7</v>
      </c>
      <c r="F300" s="8">
        <v>9.9672234005895102E-2</v>
      </c>
      <c r="G300" s="27" t="str">
        <f t="shared" si="29"/>
        <v>Gallura7</v>
      </c>
      <c r="H300" s="28">
        <f t="shared" si="30"/>
        <v>5</v>
      </c>
      <c r="I300" s="28">
        <f t="shared" si="31"/>
        <v>32</v>
      </c>
      <c r="J300" s="8">
        <f t="shared" si="32"/>
        <v>0.84375</v>
      </c>
      <c r="K300" s="8">
        <f t="shared" si="33"/>
        <v>0.47171111700294754</v>
      </c>
      <c r="L300" s="29">
        <f t="shared" si="34"/>
        <v>2.948577315993307E-3</v>
      </c>
      <c r="M300" s="30">
        <f>IF(E300=1,'00-BUDGET'!E$21*L300,'00-BUDGET'!F$21*L300)</f>
        <v>7781.9154363658017</v>
      </c>
      <c r="N300" s="8">
        <f>IF(E300=1,'00-BUDGET'!H$21*L300,'00-BUDGET'!I$21*L300)</f>
        <v>11672.873154548706</v>
      </c>
      <c r="O300" s="8">
        <f>IF(E300=1,'00-BUDGET'!K$21*L300,'00-BUDGET'!L$21*L300)</f>
        <v>15563.830872731611</v>
      </c>
    </row>
    <row r="301" spans="1:15" ht="30" x14ac:dyDescent="0.3">
      <c r="A301" s="5" t="str">
        <f t="shared" si="28"/>
        <v>TAMPONI FKT Gallura Arzachena8</v>
      </c>
      <c r="B301" s="26" t="s">
        <v>79</v>
      </c>
      <c r="C301" s="26" t="s">
        <v>53</v>
      </c>
      <c r="D301" s="26" t="s">
        <v>146</v>
      </c>
      <c r="E301" s="26">
        <v>8</v>
      </c>
      <c r="F301" s="8">
        <v>9.9672234005895102E-2</v>
      </c>
      <c r="G301" s="27" t="str">
        <f t="shared" si="29"/>
        <v>Gallura8</v>
      </c>
      <c r="H301" s="28">
        <f t="shared" si="30"/>
        <v>9</v>
      </c>
      <c r="I301" s="28">
        <f t="shared" si="31"/>
        <v>67</v>
      </c>
      <c r="J301" s="8">
        <f t="shared" si="32"/>
        <v>0.86567164179104483</v>
      </c>
      <c r="K301" s="8">
        <f t="shared" si="33"/>
        <v>0.48267193789846996</v>
      </c>
      <c r="L301" s="29">
        <f t="shared" si="34"/>
        <v>3.0170913422527322E-3</v>
      </c>
      <c r="M301" s="30">
        <f>IF(E301=1,'00-BUDGET'!E$21*L301,'00-BUDGET'!F$21*L301)</f>
        <v>7962.7383558340607</v>
      </c>
      <c r="N301" s="8">
        <f>IF(E301=1,'00-BUDGET'!H$21*L301,'00-BUDGET'!I$21*L301)</f>
        <v>11944.107533751096</v>
      </c>
      <c r="O301" s="8">
        <f>IF(E301=1,'00-BUDGET'!K$21*L301,'00-BUDGET'!L$21*L301)</f>
        <v>15925.476711668129</v>
      </c>
    </row>
    <row r="302" spans="1:15" ht="30" x14ac:dyDescent="0.3">
      <c r="A302" s="5" t="str">
        <f t="shared" si="28"/>
        <v>TAMPONI FKT Gallura Arzachena9</v>
      </c>
      <c r="B302" s="26" t="s">
        <v>79</v>
      </c>
      <c r="C302" s="26" t="s">
        <v>53</v>
      </c>
      <c r="D302" s="26" t="s">
        <v>146</v>
      </c>
      <c r="E302" s="26">
        <v>9</v>
      </c>
      <c r="F302" s="8">
        <v>9.9672234005895102E-2</v>
      </c>
      <c r="G302" s="27" t="str">
        <f t="shared" si="29"/>
        <v>Gallura9</v>
      </c>
      <c r="H302" s="28">
        <f t="shared" si="30"/>
        <v>8</v>
      </c>
      <c r="I302" s="28">
        <f t="shared" si="31"/>
        <v>60</v>
      </c>
      <c r="J302" s="8">
        <f t="shared" si="32"/>
        <v>0.8666666666666667</v>
      </c>
      <c r="K302" s="8">
        <f t="shared" si="33"/>
        <v>0.48316945033628089</v>
      </c>
      <c r="L302" s="29">
        <f t="shared" si="34"/>
        <v>3.0202011987637981E-3</v>
      </c>
      <c r="M302" s="30">
        <f>IF(E302=1,'00-BUDGET'!E$21*L302,'00-BUDGET'!F$21*L302)</f>
        <v>7970.9459209730448</v>
      </c>
      <c r="N302" s="8">
        <f>IF(E302=1,'00-BUDGET'!H$21*L302,'00-BUDGET'!I$21*L302)</f>
        <v>11956.418881459571</v>
      </c>
      <c r="O302" s="8">
        <f>IF(E302=1,'00-BUDGET'!K$21*L302,'00-BUDGET'!L$21*L302)</f>
        <v>15941.891841946099</v>
      </c>
    </row>
    <row r="303" spans="1:15" ht="30" x14ac:dyDescent="0.3">
      <c r="A303" s="5" t="str">
        <f t="shared" si="28"/>
        <v>TAMPONI FKT Gallura Arzachena10</v>
      </c>
      <c r="B303" s="26" t="s">
        <v>79</v>
      </c>
      <c r="C303" s="26" t="s">
        <v>53</v>
      </c>
      <c r="D303" s="26" t="s">
        <v>146</v>
      </c>
      <c r="E303" s="26">
        <v>10</v>
      </c>
      <c r="F303" s="8">
        <v>9.9672234005895102E-2</v>
      </c>
      <c r="G303" s="27" t="str">
        <f t="shared" si="29"/>
        <v>Gallura10</v>
      </c>
      <c r="H303" s="28">
        <f t="shared" si="30"/>
        <v>9</v>
      </c>
      <c r="I303" s="28">
        <f t="shared" si="31"/>
        <v>65</v>
      </c>
      <c r="J303" s="8">
        <f t="shared" si="32"/>
        <v>0.86153846153846159</v>
      </c>
      <c r="K303" s="8">
        <f t="shared" si="33"/>
        <v>0.48060534777217834</v>
      </c>
      <c r="L303" s="29">
        <f t="shared" si="34"/>
        <v>3.0041734767452268E-3</v>
      </c>
      <c r="M303" s="30">
        <f>IF(E303=1,'00-BUDGET'!E$21*L303,'00-BUDGET'!F$21*L303)</f>
        <v>7928.6453929490472</v>
      </c>
      <c r="N303" s="8">
        <f>IF(E303=1,'00-BUDGET'!H$21*L303,'00-BUDGET'!I$21*L303)</f>
        <v>11892.968089423573</v>
      </c>
      <c r="O303" s="8">
        <f>IF(E303=1,'00-BUDGET'!K$21*L303,'00-BUDGET'!L$21*L303)</f>
        <v>15857.290785898102</v>
      </c>
    </row>
    <row r="304" spans="1:15" ht="30" x14ac:dyDescent="0.3">
      <c r="A304" s="5" t="str">
        <f t="shared" si="28"/>
        <v>TAMPONI FKT Gallura Arzachena11</v>
      </c>
      <c r="B304" s="26" t="s">
        <v>79</v>
      </c>
      <c r="C304" s="26" t="s">
        <v>53</v>
      </c>
      <c r="D304" s="26" t="s">
        <v>146</v>
      </c>
      <c r="E304" s="26">
        <v>11</v>
      </c>
      <c r="F304" s="8">
        <v>9.9672234005895102E-2</v>
      </c>
      <c r="G304" s="27" t="str">
        <f t="shared" si="29"/>
        <v>Gallura11</v>
      </c>
      <c r="H304" s="28">
        <f t="shared" si="30"/>
        <v>8</v>
      </c>
      <c r="I304" s="28">
        <f t="shared" si="31"/>
        <v>56</v>
      </c>
      <c r="J304" s="8">
        <f t="shared" si="32"/>
        <v>0.85714285714285721</v>
      </c>
      <c r="K304" s="8">
        <f t="shared" si="33"/>
        <v>0.47840754557437615</v>
      </c>
      <c r="L304" s="29">
        <f t="shared" si="34"/>
        <v>2.9904354293007369E-3</v>
      </c>
      <c r="M304" s="30">
        <f>IF(E304=1,'00-BUDGET'!E$21*L304,'00-BUDGET'!F$21*L304)</f>
        <v>7892.387797499905</v>
      </c>
      <c r="N304" s="8">
        <f>IF(E304=1,'00-BUDGET'!H$21*L304,'00-BUDGET'!I$21*L304)</f>
        <v>11838.581696249861</v>
      </c>
      <c r="O304" s="8">
        <f>IF(E304=1,'00-BUDGET'!K$21*L304,'00-BUDGET'!L$21*L304)</f>
        <v>15784.775594999819</v>
      </c>
    </row>
    <row r="305" spans="1:15" ht="45" x14ac:dyDescent="0.3">
      <c r="A305" s="5" t="str">
        <f t="shared" si="28"/>
        <v>Tamponi FKT Turritana – sede di Ozieri7</v>
      </c>
      <c r="B305" s="26" t="s">
        <v>81</v>
      </c>
      <c r="C305" s="26" t="s">
        <v>54</v>
      </c>
      <c r="D305" s="26" t="s">
        <v>147</v>
      </c>
      <c r="E305" s="26">
        <v>7</v>
      </c>
      <c r="F305" s="8">
        <v>0.20051177607843701</v>
      </c>
      <c r="G305" s="27" t="str">
        <f t="shared" si="29"/>
        <v>Sassari7</v>
      </c>
      <c r="H305" s="28">
        <f t="shared" si="30"/>
        <v>4</v>
      </c>
      <c r="I305" s="28">
        <f t="shared" si="31"/>
        <v>32</v>
      </c>
      <c r="J305" s="8">
        <f t="shared" si="32"/>
        <v>0.875</v>
      </c>
      <c r="K305" s="8">
        <f t="shared" si="33"/>
        <v>0.53775588803921848</v>
      </c>
      <c r="L305" s="29">
        <f t="shared" si="34"/>
        <v>3.3614107360636324E-3</v>
      </c>
      <c r="M305" s="30">
        <f>IF(E305=1,'00-BUDGET'!E$21*L305,'00-BUDGET'!F$21*L305)</f>
        <v>8871.4696247085594</v>
      </c>
      <c r="N305" s="8">
        <f>IF(E305=1,'00-BUDGET'!H$21*L305,'00-BUDGET'!I$21*L305)</f>
        <v>13307.204437062843</v>
      </c>
      <c r="O305" s="8">
        <f>IF(E305=1,'00-BUDGET'!K$21*L305,'00-BUDGET'!L$21*L305)</f>
        <v>17742.939249417126</v>
      </c>
    </row>
    <row r="306" spans="1:15" ht="45" x14ac:dyDescent="0.3">
      <c r="A306" s="5" t="str">
        <f t="shared" si="28"/>
        <v>Tamponi FKT Turritana – sede di Ozieri8</v>
      </c>
      <c r="B306" s="26" t="s">
        <v>81</v>
      </c>
      <c r="C306" s="26" t="s">
        <v>54</v>
      </c>
      <c r="D306" s="26" t="s">
        <v>147</v>
      </c>
      <c r="E306" s="26">
        <v>8</v>
      </c>
      <c r="F306" s="8">
        <v>0.20051177607843701</v>
      </c>
      <c r="G306" s="27" t="str">
        <f t="shared" si="29"/>
        <v>Sassari8</v>
      </c>
      <c r="H306" s="28">
        <f t="shared" si="30"/>
        <v>6</v>
      </c>
      <c r="I306" s="28">
        <f t="shared" si="31"/>
        <v>67</v>
      </c>
      <c r="J306" s="8">
        <f t="shared" si="32"/>
        <v>0.91044776119402981</v>
      </c>
      <c r="K306" s="8">
        <f t="shared" si="33"/>
        <v>0.55547976863623338</v>
      </c>
      <c r="L306" s="29">
        <f t="shared" si="34"/>
        <v>3.4721993742703621E-3</v>
      </c>
      <c r="M306" s="30">
        <f>IF(E306=1,'00-BUDGET'!E$21*L306,'00-BUDGET'!F$21*L306)</f>
        <v>9163.8641327848909</v>
      </c>
      <c r="N306" s="8">
        <f>IF(E306=1,'00-BUDGET'!H$21*L306,'00-BUDGET'!I$21*L306)</f>
        <v>13745.796199177341</v>
      </c>
      <c r="O306" s="8">
        <f>IF(E306=1,'00-BUDGET'!K$21*L306,'00-BUDGET'!L$21*L306)</f>
        <v>18327.728265569793</v>
      </c>
    </row>
    <row r="307" spans="1:15" ht="45" x14ac:dyDescent="0.3">
      <c r="A307" s="5" t="str">
        <f t="shared" si="28"/>
        <v>Tamponi FKT Turritana – sede di Ozieri9</v>
      </c>
      <c r="B307" s="26" t="s">
        <v>81</v>
      </c>
      <c r="C307" s="26" t="s">
        <v>54</v>
      </c>
      <c r="D307" s="26" t="s">
        <v>147</v>
      </c>
      <c r="E307" s="26">
        <v>9</v>
      </c>
      <c r="F307" s="8">
        <v>0.20051177607843701</v>
      </c>
      <c r="G307" s="27" t="str">
        <f t="shared" si="29"/>
        <v>Sassari9</v>
      </c>
      <c r="H307" s="28">
        <f t="shared" si="30"/>
        <v>6</v>
      </c>
      <c r="I307" s="28">
        <f t="shared" si="31"/>
        <v>60</v>
      </c>
      <c r="J307" s="8">
        <f t="shared" si="32"/>
        <v>0.9</v>
      </c>
      <c r="K307" s="8">
        <f t="shared" si="33"/>
        <v>0.55025588803921854</v>
      </c>
      <c r="L307" s="29">
        <f t="shared" si="34"/>
        <v>3.4395458809041686E-3</v>
      </c>
      <c r="M307" s="30">
        <f>IF(E307=1,'00-BUDGET'!E$21*L307,'00-BUDGET'!F$21*L307)</f>
        <v>9077.6846988255529</v>
      </c>
      <c r="N307" s="8">
        <f>IF(E307=1,'00-BUDGET'!H$21*L307,'00-BUDGET'!I$21*L307)</f>
        <v>13616.527048238333</v>
      </c>
      <c r="O307" s="8">
        <f>IF(E307=1,'00-BUDGET'!K$21*L307,'00-BUDGET'!L$21*L307)</f>
        <v>18155.369397651113</v>
      </c>
    </row>
    <row r="308" spans="1:15" ht="45" x14ac:dyDescent="0.3">
      <c r="A308" s="5" t="str">
        <f t="shared" si="28"/>
        <v>Tamponi FKT Turritana – sede di Ozieri10</v>
      </c>
      <c r="B308" s="26" t="s">
        <v>81</v>
      </c>
      <c r="C308" s="26" t="s">
        <v>54</v>
      </c>
      <c r="D308" s="26" t="s">
        <v>147</v>
      </c>
      <c r="E308" s="26">
        <v>10</v>
      </c>
      <c r="F308" s="8">
        <v>0.20051177607843701</v>
      </c>
      <c r="G308" s="27" t="str">
        <f t="shared" si="29"/>
        <v>Sassari10</v>
      </c>
      <c r="H308" s="28">
        <f t="shared" si="30"/>
        <v>6</v>
      </c>
      <c r="I308" s="28">
        <f t="shared" si="31"/>
        <v>65</v>
      </c>
      <c r="J308" s="8">
        <f t="shared" si="32"/>
        <v>0.90769230769230769</v>
      </c>
      <c r="K308" s="8">
        <f t="shared" si="33"/>
        <v>0.55410204188537238</v>
      </c>
      <c r="L308" s="29">
        <f t="shared" si="34"/>
        <v>3.4635874639320258E-3</v>
      </c>
      <c r="M308" s="30">
        <f>IF(E308=1,'00-BUDGET'!E$21*L308,'00-BUDGET'!F$21*L308)</f>
        <v>9141.1354908615504</v>
      </c>
      <c r="N308" s="8">
        <f>IF(E308=1,'00-BUDGET'!H$21*L308,'00-BUDGET'!I$21*L308)</f>
        <v>13711.703236292331</v>
      </c>
      <c r="O308" s="8">
        <f>IF(E308=1,'00-BUDGET'!K$21*L308,'00-BUDGET'!L$21*L308)</f>
        <v>18282.270981723112</v>
      </c>
    </row>
    <row r="309" spans="1:15" ht="45" x14ac:dyDescent="0.3">
      <c r="A309" s="5" t="str">
        <f t="shared" si="28"/>
        <v>Tamponi FKT Turritana – sede di Ozieri11</v>
      </c>
      <c r="B309" s="26" t="s">
        <v>81</v>
      </c>
      <c r="C309" s="26" t="s">
        <v>54</v>
      </c>
      <c r="D309" s="26" t="s">
        <v>147</v>
      </c>
      <c r="E309" s="26">
        <v>11</v>
      </c>
      <c r="F309" s="8">
        <v>0.20051177607843701</v>
      </c>
      <c r="G309" s="27" t="str">
        <f t="shared" si="29"/>
        <v>Sassari11</v>
      </c>
      <c r="H309" s="28">
        <f t="shared" si="30"/>
        <v>6</v>
      </c>
      <c r="I309" s="28">
        <f t="shared" si="31"/>
        <v>56</v>
      </c>
      <c r="J309" s="8">
        <f t="shared" si="32"/>
        <v>0.8928571428571429</v>
      </c>
      <c r="K309" s="8">
        <f t="shared" si="33"/>
        <v>0.54668445946778998</v>
      </c>
      <c r="L309" s="29">
        <f t="shared" si="34"/>
        <v>3.4172215538068726E-3</v>
      </c>
      <c r="M309" s="30">
        <f>IF(E309=1,'00-BUDGET'!E$21*L309,'00-BUDGET'!F$21*L309)</f>
        <v>9018.7661062206971</v>
      </c>
      <c r="N309" s="8">
        <f>IF(E309=1,'00-BUDGET'!H$21*L309,'00-BUDGET'!I$21*L309)</f>
        <v>13528.149159331051</v>
      </c>
      <c r="O309" s="8">
        <f>IF(E309=1,'00-BUDGET'!K$21*L309,'00-BUDGET'!L$21*L309)</f>
        <v>18037.532212441405</v>
      </c>
    </row>
    <row r="310" spans="1:15" ht="45" x14ac:dyDescent="0.3">
      <c r="A310" s="5" t="str">
        <f t="shared" si="28"/>
        <v>Tamponi FKT Turritana – sede di Porto Torres8</v>
      </c>
      <c r="B310" s="26" t="s">
        <v>81</v>
      </c>
      <c r="C310" s="26" t="s">
        <v>54</v>
      </c>
      <c r="D310" s="26" t="s">
        <v>148</v>
      </c>
      <c r="E310" s="26">
        <v>8</v>
      </c>
      <c r="F310" s="8">
        <v>0.20051177607843701</v>
      </c>
      <c r="G310" s="27" t="str">
        <f t="shared" si="29"/>
        <v>Sassari8</v>
      </c>
      <c r="H310" s="28">
        <f t="shared" si="30"/>
        <v>6</v>
      </c>
      <c r="I310" s="28">
        <f t="shared" si="31"/>
        <v>67</v>
      </c>
      <c r="J310" s="8">
        <f t="shared" si="32"/>
        <v>0.91044776119402981</v>
      </c>
      <c r="K310" s="8">
        <f t="shared" si="33"/>
        <v>0.55547976863623338</v>
      </c>
      <c r="L310" s="29">
        <f t="shared" si="34"/>
        <v>3.4721993742703621E-3</v>
      </c>
      <c r="M310" s="30">
        <f>IF(E310=1,'00-BUDGET'!E$21*L310,'00-BUDGET'!F$21*L310)</f>
        <v>9163.8641327848909</v>
      </c>
      <c r="N310" s="8">
        <f>IF(E310=1,'00-BUDGET'!H$21*L310,'00-BUDGET'!I$21*L310)</f>
        <v>13745.796199177341</v>
      </c>
      <c r="O310" s="8">
        <f>IF(E310=1,'00-BUDGET'!K$21*L310,'00-BUDGET'!L$21*L310)</f>
        <v>18327.728265569793</v>
      </c>
    </row>
    <row r="311" spans="1:15" ht="45" x14ac:dyDescent="0.3">
      <c r="A311" s="5" t="str">
        <f t="shared" si="28"/>
        <v>Tamponi FKT Turritana – sede di Porto Torres9</v>
      </c>
      <c r="B311" s="26" t="s">
        <v>81</v>
      </c>
      <c r="C311" s="26" t="s">
        <v>54</v>
      </c>
      <c r="D311" s="26" t="s">
        <v>148</v>
      </c>
      <c r="E311" s="26">
        <v>9</v>
      </c>
      <c r="F311" s="8">
        <v>0.20051177607843701</v>
      </c>
      <c r="G311" s="27" t="str">
        <f t="shared" si="29"/>
        <v>Sassari9</v>
      </c>
      <c r="H311" s="28">
        <f t="shared" si="30"/>
        <v>6</v>
      </c>
      <c r="I311" s="28">
        <f t="shared" si="31"/>
        <v>60</v>
      </c>
      <c r="J311" s="8">
        <f t="shared" si="32"/>
        <v>0.9</v>
      </c>
      <c r="K311" s="8">
        <f t="shared" si="33"/>
        <v>0.55025588803921854</v>
      </c>
      <c r="L311" s="29">
        <f t="shared" si="34"/>
        <v>3.4395458809041686E-3</v>
      </c>
      <c r="M311" s="30">
        <f>IF(E311=1,'00-BUDGET'!E$21*L311,'00-BUDGET'!F$21*L311)</f>
        <v>9077.6846988255529</v>
      </c>
      <c r="N311" s="8">
        <f>IF(E311=1,'00-BUDGET'!H$21*L311,'00-BUDGET'!I$21*L311)</f>
        <v>13616.527048238333</v>
      </c>
      <c r="O311" s="8">
        <f>IF(E311=1,'00-BUDGET'!K$21*L311,'00-BUDGET'!L$21*L311)</f>
        <v>18155.369397651113</v>
      </c>
    </row>
    <row r="312" spans="1:15" ht="45" x14ac:dyDescent="0.3">
      <c r="A312" s="5" t="str">
        <f t="shared" si="28"/>
        <v>Tamponi FKT Turritana – sede di Porto Torres10</v>
      </c>
      <c r="B312" s="26" t="s">
        <v>81</v>
      </c>
      <c r="C312" s="26" t="s">
        <v>54</v>
      </c>
      <c r="D312" s="26" t="s">
        <v>148</v>
      </c>
      <c r="E312" s="26">
        <v>10</v>
      </c>
      <c r="F312" s="8">
        <v>0.20051177607843701</v>
      </c>
      <c r="G312" s="27" t="str">
        <f t="shared" si="29"/>
        <v>Sassari10</v>
      </c>
      <c r="H312" s="28">
        <f t="shared" si="30"/>
        <v>6</v>
      </c>
      <c r="I312" s="28">
        <f t="shared" si="31"/>
        <v>65</v>
      </c>
      <c r="J312" s="8">
        <f t="shared" si="32"/>
        <v>0.90769230769230769</v>
      </c>
      <c r="K312" s="8">
        <f t="shared" si="33"/>
        <v>0.55410204188537238</v>
      </c>
      <c r="L312" s="29">
        <f t="shared" si="34"/>
        <v>3.4635874639320258E-3</v>
      </c>
      <c r="M312" s="30">
        <f>IF(E312=1,'00-BUDGET'!E$21*L312,'00-BUDGET'!F$21*L312)</f>
        <v>9141.1354908615504</v>
      </c>
      <c r="N312" s="8">
        <f>IF(E312=1,'00-BUDGET'!H$21*L312,'00-BUDGET'!I$21*L312)</f>
        <v>13711.703236292331</v>
      </c>
      <c r="O312" s="8">
        <f>IF(E312=1,'00-BUDGET'!K$21*L312,'00-BUDGET'!L$21*L312)</f>
        <v>18282.270981723112</v>
      </c>
    </row>
    <row r="313" spans="1:15" ht="45" x14ac:dyDescent="0.3">
      <c r="A313" s="5" t="str">
        <f t="shared" si="28"/>
        <v>Tamponi FKT Turritana – sede di Porto Torres11</v>
      </c>
      <c r="B313" s="26" t="s">
        <v>81</v>
      </c>
      <c r="C313" s="26" t="s">
        <v>54</v>
      </c>
      <c r="D313" s="26" t="s">
        <v>148</v>
      </c>
      <c r="E313" s="26">
        <v>11</v>
      </c>
      <c r="F313" s="8">
        <v>0.20051177607843701</v>
      </c>
      <c r="G313" s="27" t="str">
        <f t="shared" si="29"/>
        <v>Sassari11</v>
      </c>
      <c r="H313" s="28">
        <f t="shared" si="30"/>
        <v>6</v>
      </c>
      <c r="I313" s="28">
        <f t="shared" si="31"/>
        <v>56</v>
      </c>
      <c r="J313" s="8">
        <f t="shared" si="32"/>
        <v>0.8928571428571429</v>
      </c>
      <c r="K313" s="8">
        <f t="shared" si="33"/>
        <v>0.54668445946778998</v>
      </c>
      <c r="L313" s="29">
        <f t="shared" si="34"/>
        <v>3.4172215538068726E-3</v>
      </c>
      <c r="M313" s="30">
        <f>IF(E313=1,'00-BUDGET'!E$21*L313,'00-BUDGET'!F$21*L313)</f>
        <v>9018.7661062206971</v>
      </c>
      <c r="N313" s="8">
        <f>IF(E313=1,'00-BUDGET'!H$21*L313,'00-BUDGET'!I$21*L313)</f>
        <v>13528.149159331051</v>
      </c>
      <c r="O313" s="8">
        <f>IF(E313=1,'00-BUDGET'!K$21*L313,'00-BUDGET'!L$21*L313)</f>
        <v>18037.532212441405</v>
      </c>
    </row>
    <row r="314" spans="1:15" ht="60" x14ac:dyDescent="0.3">
      <c r="A314" s="5" t="str">
        <f t="shared" si="28"/>
        <v>Centro Riabilitativo Santa Lucia srl7</v>
      </c>
      <c r="B314" s="26" t="s">
        <v>77</v>
      </c>
      <c r="C314" s="26" t="s">
        <v>41</v>
      </c>
      <c r="D314" s="26" t="s">
        <v>149</v>
      </c>
      <c r="E314" s="26">
        <v>7</v>
      </c>
      <c r="F314" s="8">
        <v>0.34343362439390401</v>
      </c>
      <c r="G314" s="27" t="str">
        <f t="shared" si="29"/>
        <v>Cagliari7</v>
      </c>
      <c r="H314" s="28">
        <f t="shared" si="30"/>
        <v>15</v>
      </c>
      <c r="I314" s="28">
        <f t="shared" si="31"/>
        <v>32</v>
      </c>
      <c r="J314" s="8">
        <f t="shared" si="32"/>
        <v>0.53125</v>
      </c>
      <c r="K314" s="8">
        <f t="shared" si="33"/>
        <v>0.43734181219695201</v>
      </c>
      <c r="L314" s="29">
        <f t="shared" si="34"/>
        <v>2.7337412672665076E-3</v>
      </c>
      <c r="M314" s="30">
        <f>IF(E314=1,'00-BUDGET'!E$21*L314,'00-BUDGET'!F$21*L314)</f>
        <v>7214.9179373323695</v>
      </c>
      <c r="N314" s="8">
        <f>IF(E314=1,'00-BUDGET'!H$21*L314,'00-BUDGET'!I$21*L314)</f>
        <v>10822.376905998557</v>
      </c>
      <c r="O314" s="8">
        <f>IF(E314=1,'00-BUDGET'!K$21*L314,'00-BUDGET'!L$21*L314)</f>
        <v>14429.835874664746</v>
      </c>
    </row>
    <row r="315" spans="1:15" ht="60" x14ac:dyDescent="0.3">
      <c r="A315" s="5" t="str">
        <f t="shared" si="28"/>
        <v>Centro Riabilitativo Santa Lucia srl8</v>
      </c>
      <c r="B315" s="26" t="s">
        <v>77</v>
      </c>
      <c r="C315" s="26" t="s">
        <v>41</v>
      </c>
      <c r="D315" s="26" t="s">
        <v>149</v>
      </c>
      <c r="E315" s="26">
        <v>8</v>
      </c>
      <c r="F315" s="8">
        <v>0.34343362439390401</v>
      </c>
      <c r="G315" s="27" t="str">
        <f t="shared" si="29"/>
        <v>Cagliari8</v>
      </c>
      <c r="H315" s="28">
        <f t="shared" si="30"/>
        <v>26</v>
      </c>
      <c r="I315" s="28">
        <f t="shared" si="31"/>
        <v>67</v>
      </c>
      <c r="J315" s="8">
        <f t="shared" si="32"/>
        <v>0.61194029850746268</v>
      </c>
      <c r="K315" s="8">
        <f t="shared" si="33"/>
        <v>0.47768696145068335</v>
      </c>
      <c r="L315" s="29">
        <f t="shared" si="34"/>
        <v>2.9859311937107747E-3</v>
      </c>
      <c r="M315" s="30">
        <f>IF(E315=1,'00-BUDGET'!E$21*L315,'00-BUDGET'!F$21*L315)</f>
        <v>7880.5001728219177</v>
      </c>
      <c r="N315" s="8">
        <f>IF(E315=1,'00-BUDGET'!H$21*L315,'00-BUDGET'!I$21*L315)</f>
        <v>11820.75025923288</v>
      </c>
      <c r="O315" s="8">
        <f>IF(E315=1,'00-BUDGET'!K$21*L315,'00-BUDGET'!L$21*L315)</f>
        <v>15761.000345643844</v>
      </c>
    </row>
    <row r="316" spans="1:15" ht="60" x14ac:dyDescent="0.3">
      <c r="A316" s="5" t="str">
        <f t="shared" si="28"/>
        <v>Centro Riabilitativo Santa Lucia srl9</v>
      </c>
      <c r="B316" s="26" t="s">
        <v>77</v>
      </c>
      <c r="C316" s="26" t="s">
        <v>41</v>
      </c>
      <c r="D316" s="26" t="s">
        <v>149</v>
      </c>
      <c r="E316" s="26">
        <v>9</v>
      </c>
      <c r="F316" s="8">
        <v>0.34343362439390401</v>
      </c>
      <c r="G316" s="27" t="str">
        <f t="shared" si="29"/>
        <v>Cagliari9</v>
      </c>
      <c r="H316" s="28">
        <f t="shared" si="30"/>
        <v>22</v>
      </c>
      <c r="I316" s="28">
        <f t="shared" si="31"/>
        <v>60</v>
      </c>
      <c r="J316" s="8">
        <f t="shared" si="32"/>
        <v>0.6333333333333333</v>
      </c>
      <c r="K316" s="8">
        <f t="shared" si="33"/>
        <v>0.48838347886361866</v>
      </c>
      <c r="L316" s="29">
        <f t="shared" si="34"/>
        <v>3.0527931086986961E-3</v>
      </c>
      <c r="M316" s="30">
        <f>IF(E316=1,'00-BUDGET'!E$21*L316,'00-BUDGET'!F$21*L316)</f>
        <v>8056.9628233100912</v>
      </c>
      <c r="N316" s="8">
        <f>IF(E316=1,'00-BUDGET'!H$21*L316,'00-BUDGET'!I$21*L316)</f>
        <v>12085.444234965142</v>
      </c>
      <c r="O316" s="8">
        <f>IF(E316=1,'00-BUDGET'!K$21*L316,'00-BUDGET'!L$21*L316)</f>
        <v>16113.925646620191</v>
      </c>
    </row>
    <row r="317" spans="1:15" ht="60" x14ac:dyDescent="0.3">
      <c r="A317" s="5" t="str">
        <f t="shared" si="28"/>
        <v>Centro Riabilitativo Santa Lucia srl10</v>
      </c>
      <c r="B317" s="26" t="s">
        <v>77</v>
      </c>
      <c r="C317" s="26" t="s">
        <v>41</v>
      </c>
      <c r="D317" s="26" t="s">
        <v>149</v>
      </c>
      <c r="E317" s="26">
        <v>10</v>
      </c>
      <c r="F317" s="8">
        <v>0.34343362439390401</v>
      </c>
      <c r="G317" s="27" t="str">
        <f t="shared" si="29"/>
        <v>Cagliari10</v>
      </c>
      <c r="H317" s="28">
        <f t="shared" si="30"/>
        <v>26</v>
      </c>
      <c r="I317" s="28">
        <f t="shared" si="31"/>
        <v>65</v>
      </c>
      <c r="J317" s="8">
        <f t="shared" si="32"/>
        <v>0.6</v>
      </c>
      <c r="K317" s="8">
        <f t="shared" si="33"/>
        <v>0.471716812196952</v>
      </c>
      <c r="L317" s="29">
        <f t="shared" si="34"/>
        <v>2.9486129155779812E-3</v>
      </c>
      <c r="M317" s="30">
        <f>IF(E317=1,'00-BUDGET'!E$21*L317,'00-BUDGET'!F$21*L317)</f>
        <v>7782.0093911540998</v>
      </c>
      <c r="N317" s="8">
        <f>IF(E317=1,'00-BUDGET'!H$21*L317,'00-BUDGET'!I$21*L317)</f>
        <v>11673.014086731153</v>
      </c>
      <c r="O317" s="8">
        <f>IF(E317=1,'00-BUDGET'!K$21*L317,'00-BUDGET'!L$21*L317)</f>
        <v>15564.018782308207</v>
      </c>
    </row>
    <row r="318" spans="1:15" ht="60" x14ac:dyDescent="0.3">
      <c r="A318" s="5" t="str">
        <f t="shared" si="28"/>
        <v>Centro Riabilitativo Santa Lucia srl11</v>
      </c>
      <c r="B318" s="26" t="s">
        <v>77</v>
      </c>
      <c r="C318" s="26" t="s">
        <v>41</v>
      </c>
      <c r="D318" s="26" t="s">
        <v>149</v>
      </c>
      <c r="E318" s="26">
        <v>11</v>
      </c>
      <c r="F318" s="8">
        <v>0.34343362439390401</v>
      </c>
      <c r="G318" s="27" t="str">
        <f t="shared" si="29"/>
        <v>Cagliari11</v>
      </c>
      <c r="H318" s="28">
        <f t="shared" si="30"/>
        <v>19</v>
      </c>
      <c r="I318" s="28">
        <f t="shared" si="31"/>
        <v>56</v>
      </c>
      <c r="J318" s="8">
        <f t="shared" si="32"/>
        <v>0.6607142857142857</v>
      </c>
      <c r="K318" s="8">
        <f t="shared" si="33"/>
        <v>0.50207395505409491</v>
      </c>
      <c r="L318" s="29">
        <f t="shared" si="34"/>
        <v>3.1383696959049979E-3</v>
      </c>
      <c r="M318" s="30">
        <f>IF(E318=1,'00-BUDGET'!E$21*L318,'00-BUDGET'!F$21*L318)</f>
        <v>8282.8174282953714</v>
      </c>
      <c r="N318" s="8">
        <f>IF(E318=1,'00-BUDGET'!H$21*L318,'00-BUDGET'!I$21*L318)</f>
        <v>12424.22614244306</v>
      </c>
      <c r="O318" s="8">
        <f>IF(E318=1,'00-BUDGET'!K$21*L318,'00-BUDGET'!L$21*L318)</f>
        <v>16565.63485659075</v>
      </c>
    </row>
    <row r="319" spans="1:15" ht="45" x14ac:dyDescent="0.3">
      <c r="A319" s="5" t="str">
        <f t="shared" si="28"/>
        <v>PARACELSO Assemini5</v>
      </c>
      <c r="B319" s="26" t="s">
        <v>77</v>
      </c>
      <c r="C319" s="26" t="s">
        <v>43</v>
      </c>
      <c r="D319" s="26" t="s">
        <v>150</v>
      </c>
      <c r="E319" s="26">
        <v>5</v>
      </c>
      <c r="F319" s="8">
        <v>0.34343362439390401</v>
      </c>
      <c r="G319" s="27" t="str">
        <f t="shared" si="29"/>
        <v>Cagliari5</v>
      </c>
      <c r="H319" s="28">
        <f t="shared" si="30"/>
        <v>11</v>
      </c>
      <c r="I319" s="28">
        <f t="shared" si="31"/>
        <v>23</v>
      </c>
      <c r="J319" s="8">
        <f t="shared" si="32"/>
        <v>0.52173913043478259</v>
      </c>
      <c r="K319" s="8">
        <f t="shared" si="33"/>
        <v>0.4325863774143433</v>
      </c>
      <c r="L319" s="29">
        <f t="shared" si="34"/>
        <v>2.7040159404249993E-3</v>
      </c>
      <c r="M319" s="30">
        <f>IF(E319=1,'00-BUDGET'!E$21*L319,'00-BUDGET'!F$21*L319)</f>
        <v>7136.4665504400346</v>
      </c>
      <c r="N319" s="8">
        <f>IF(E319=1,'00-BUDGET'!H$21*L319,'00-BUDGET'!I$21*L319)</f>
        <v>10704.699825660056</v>
      </c>
      <c r="O319" s="8">
        <f>IF(E319=1,'00-BUDGET'!K$21*L319,'00-BUDGET'!L$21*L319)</f>
        <v>14272.933100880076</v>
      </c>
    </row>
    <row r="320" spans="1:15" ht="45" x14ac:dyDescent="0.3">
      <c r="A320" s="5" t="str">
        <f t="shared" si="28"/>
        <v>PARACELSO - Dolianova 10</v>
      </c>
      <c r="B320" s="26" t="s">
        <v>77</v>
      </c>
      <c r="C320" s="26" t="s">
        <v>43</v>
      </c>
      <c r="D320" s="26" t="s">
        <v>151</v>
      </c>
      <c r="E320" s="26">
        <v>10</v>
      </c>
      <c r="F320" s="8">
        <v>0.34343362439390401</v>
      </c>
      <c r="G320" s="27" t="str">
        <f t="shared" si="29"/>
        <v>Cagliari10</v>
      </c>
      <c r="H320" s="28">
        <f t="shared" si="30"/>
        <v>26</v>
      </c>
      <c r="I320" s="28">
        <f t="shared" si="31"/>
        <v>65</v>
      </c>
      <c r="J320" s="8">
        <f t="shared" si="32"/>
        <v>0.6</v>
      </c>
      <c r="K320" s="8">
        <f t="shared" si="33"/>
        <v>0.471716812196952</v>
      </c>
      <c r="L320" s="29">
        <f t="shared" si="34"/>
        <v>2.9486129155779812E-3</v>
      </c>
      <c r="M320" s="30">
        <f>IF(E320=1,'00-BUDGET'!E$21*L320,'00-BUDGET'!F$21*L320)</f>
        <v>7782.0093911540998</v>
      </c>
      <c r="N320" s="8">
        <f>IF(E320=1,'00-BUDGET'!H$21*L320,'00-BUDGET'!I$21*L320)</f>
        <v>11673.014086731153</v>
      </c>
      <c r="O320" s="8">
        <f>IF(E320=1,'00-BUDGET'!K$21*L320,'00-BUDGET'!L$21*L320)</f>
        <v>15564.018782308207</v>
      </c>
    </row>
    <row r="321" spans="1:15" ht="45" x14ac:dyDescent="0.3">
      <c r="A321" s="5" t="str">
        <f t="shared" si="28"/>
        <v>PARACELSO - Dolianova 8</v>
      </c>
      <c r="B321" s="26" t="s">
        <v>77</v>
      </c>
      <c r="C321" s="26" t="s">
        <v>43</v>
      </c>
      <c r="D321" s="26" t="s">
        <v>151</v>
      </c>
      <c r="E321" s="26">
        <v>8</v>
      </c>
      <c r="F321" s="8">
        <v>0.34343362439390401</v>
      </c>
      <c r="G321" s="27" t="str">
        <f t="shared" si="29"/>
        <v>Cagliari8</v>
      </c>
      <c r="H321" s="28">
        <f t="shared" si="30"/>
        <v>26</v>
      </c>
      <c r="I321" s="28">
        <f t="shared" si="31"/>
        <v>67</v>
      </c>
      <c r="J321" s="8">
        <f t="shared" si="32"/>
        <v>0.61194029850746268</v>
      </c>
      <c r="K321" s="8">
        <f t="shared" si="33"/>
        <v>0.47768696145068335</v>
      </c>
      <c r="L321" s="29">
        <f t="shared" si="34"/>
        <v>2.9859311937107747E-3</v>
      </c>
      <c r="M321" s="30">
        <f>IF(E321=1,'00-BUDGET'!E$21*L321,'00-BUDGET'!F$21*L321)</f>
        <v>7880.5001728219177</v>
      </c>
      <c r="N321" s="8">
        <f>IF(E321=1,'00-BUDGET'!H$21*L321,'00-BUDGET'!I$21*L321)</f>
        <v>11820.75025923288</v>
      </c>
      <c r="O321" s="8">
        <f>IF(E321=1,'00-BUDGET'!K$21*L321,'00-BUDGET'!L$21*L321)</f>
        <v>15761.000345643844</v>
      </c>
    </row>
    <row r="322" spans="1:15" ht="45" x14ac:dyDescent="0.3">
      <c r="A322" s="5" t="str">
        <f t="shared" ref="A322:A334" si="35">CONCATENATE(D322,E322)</f>
        <v>PARACELSO - Quartu Sant'Elena 10</v>
      </c>
      <c r="B322" s="26" t="s">
        <v>77</v>
      </c>
      <c r="C322" s="26" t="s">
        <v>43</v>
      </c>
      <c r="D322" s="26" t="s">
        <v>152</v>
      </c>
      <c r="E322" s="26">
        <v>10</v>
      </c>
      <c r="F322" s="8">
        <v>0.34343362439390401</v>
      </c>
      <c r="G322" s="27" t="str">
        <f t="shared" ref="G322:G334" si="36">CONCATENATE(B322,E322)</f>
        <v>Cagliari10</v>
      </c>
      <c r="H322" s="28">
        <f t="shared" ref="H322:H385" si="37">COUNTIF(G$2:G$398,G322)</f>
        <v>26</v>
      </c>
      <c r="I322" s="28">
        <f t="shared" ref="I322:I334" si="38">COUNTIF(E$2:E$398,E322)</f>
        <v>65</v>
      </c>
      <c r="J322" s="8">
        <f t="shared" ref="J322:J385" si="39">IF(1-(H322/I322)=0,1,1-(H322/I322))</f>
        <v>0.6</v>
      </c>
      <c r="K322" s="8">
        <f t="shared" ref="K322:K385" si="40">AVERAGE(J322,F322)</f>
        <v>0.471716812196952</v>
      </c>
      <c r="L322" s="29">
        <f t="shared" ref="L322:L385" si="41">K322/IF(E322=1,SUMIF(E$2:E$398,"=1",K$2:K$398),SUMIF(E$2:E$398,"&lt;&gt;1",K$2:K$398))</f>
        <v>2.9486129155779812E-3</v>
      </c>
      <c r="M322" s="30">
        <f>IF(E322=1,'00-BUDGET'!E$21*L322,'00-BUDGET'!F$21*L322)</f>
        <v>7782.0093911540998</v>
      </c>
      <c r="N322" s="8">
        <f>IF(E322=1,'00-BUDGET'!H$21*L322,'00-BUDGET'!I$21*L322)</f>
        <v>11673.014086731153</v>
      </c>
      <c r="O322" s="8">
        <f>IF(E322=1,'00-BUDGET'!K$21*L322,'00-BUDGET'!L$21*L322)</f>
        <v>15564.018782308207</v>
      </c>
    </row>
    <row r="323" spans="1:15" ht="30" x14ac:dyDescent="0.3">
      <c r="A323" s="5" t="str">
        <f t="shared" si="35"/>
        <v>Clinica Arborea RIAB CARD1</v>
      </c>
      <c r="B323" s="26" t="s">
        <v>102</v>
      </c>
      <c r="C323" s="26" t="s">
        <v>28</v>
      </c>
      <c r="D323" s="26" t="s">
        <v>153</v>
      </c>
      <c r="E323" s="26">
        <v>1</v>
      </c>
      <c r="F323" s="8">
        <v>5.8371702890174099E-2</v>
      </c>
      <c r="G323" s="27" t="str">
        <f t="shared" si="36"/>
        <v>Medio campidano1</v>
      </c>
      <c r="H323" s="28">
        <f t="shared" si="37"/>
        <v>2</v>
      </c>
      <c r="I323" s="28">
        <f t="shared" si="38"/>
        <v>4</v>
      </c>
      <c r="J323" s="8">
        <f t="shared" si="39"/>
        <v>0.5</v>
      </c>
      <c r="K323" s="8">
        <f t="shared" si="40"/>
        <v>0.27918585144508706</v>
      </c>
      <c r="L323" s="29">
        <f t="shared" si="41"/>
        <v>0.24184638027087599</v>
      </c>
      <c r="M323" s="30">
        <f>IF(E323=1,'00-BUDGET'!E$21*L323,'00-BUDGET'!F$21*L323)</f>
        <v>88211.852963859928</v>
      </c>
      <c r="N323" s="8">
        <f>IF(E323=1,'00-BUDGET'!H$21*L323,'00-BUDGET'!I$21*L323)</f>
        <v>132317.77944578993</v>
      </c>
      <c r="O323" s="8">
        <f>IF(E323=1,'00-BUDGET'!K$21*L323,'00-BUDGET'!L$21*L323)</f>
        <v>176423.70592771994</v>
      </c>
    </row>
    <row r="324" spans="1:15" ht="30" x14ac:dyDescent="0.3">
      <c r="A324" s="5" t="str">
        <f t="shared" si="35"/>
        <v>Clinica Arborea RIAB -FUNZ1</v>
      </c>
      <c r="B324" s="26" t="s">
        <v>102</v>
      </c>
      <c r="C324" s="26" t="s">
        <v>28</v>
      </c>
      <c r="D324" s="26" t="s">
        <v>154</v>
      </c>
      <c r="E324" s="26">
        <v>1</v>
      </c>
      <c r="F324" s="8">
        <v>5.8371702890174099E-2</v>
      </c>
      <c r="G324" s="27" t="str">
        <f t="shared" si="36"/>
        <v>Medio campidano1</v>
      </c>
      <c r="H324" s="28">
        <f t="shared" si="37"/>
        <v>2</v>
      </c>
      <c r="I324" s="28">
        <f t="shared" si="38"/>
        <v>4</v>
      </c>
      <c r="J324" s="8">
        <f t="shared" si="39"/>
        <v>0.5</v>
      </c>
      <c r="K324" s="8">
        <f t="shared" si="40"/>
        <v>0.27918585144508706</v>
      </c>
      <c r="L324" s="29">
        <f t="shared" si="41"/>
        <v>0.24184638027087599</v>
      </c>
      <c r="M324" s="30">
        <f>IF(E324=1,'00-BUDGET'!E$21*L324,'00-BUDGET'!F$21*L324)</f>
        <v>88211.852963859928</v>
      </c>
      <c r="N324" s="8">
        <f>IF(E324=1,'00-BUDGET'!H$21*L324,'00-BUDGET'!I$21*L324)</f>
        <v>132317.77944578993</v>
      </c>
      <c r="O324" s="8">
        <f>IF(E324=1,'00-BUDGET'!K$21*L324,'00-BUDGET'!L$21*L324)</f>
        <v>176423.70592771994</v>
      </c>
    </row>
    <row r="325" spans="1:15" ht="45" x14ac:dyDescent="0.3">
      <c r="A325" s="5" t="str">
        <f t="shared" si="35"/>
        <v>Centro Tuvixeddu8</v>
      </c>
      <c r="B325" s="26" t="s">
        <v>77</v>
      </c>
      <c r="C325" s="26" t="s">
        <v>38</v>
      </c>
      <c r="D325" s="26" t="s">
        <v>155</v>
      </c>
      <c r="E325" s="26">
        <v>8</v>
      </c>
      <c r="F325" s="8">
        <v>0.34343362439390401</v>
      </c>
      <c r="G325" s="27" t="str">
        <f t="shared" si="36"/>
        <v>Cagliari8</v>
      </c>
      <c r="H325" s="28">
        <f t="shared" si="37"/>
        <v>26</v>
      </c>
      <c r="I325" s="28">
        <f t="shared" si="38"/>
        <v>67</v>
      </c>
      <c r="J325" s="8">
        <f t="shared" si="39"/>
        <v>0.61194029850746268</v>
      </c>
      <c r="K325" s="8">
        <f t="shared" si="40"/>
        <v>0.47768696145068335</v>
      </c>
      <c r="L325" s="29">
        <f t="shared" si="41"/>
        <v>2.9859311937107747E-3</v>
      </c>
      <c r="M325" s="30">
        <f>IF(E325=1,'00-BUDGET'!E$21*L325,'00-BUDGET'!F$21*L325)</f>
        <v>7880.5001728219177</v>
      </c>
      <c r="N325" s="8">
        <f>IF(E325=1,'00-BUDGET'!H$21*L325,'00-BUDGET'!I$21*L325)</f>
        <v>11820.75025923288</v>
      </c>
      <c r="O325" s="8">
        <f>IF(E325=1,'00-BUDGET'!K$21*L325,'00-BUDGET'!L$21*L325)</f>
        <v>15761.000345643844</v>
      </c>
    </row>
    <row r="326" spans="1:15" ht="45" x14ac:dyDescent="0.3">
      <c r="A326" s="5" t="str">
        <f t="shared" si="35"/>
        <v>Centro Tuvixeddu9</v>
      </c>
      <c r="B326" s="26" t="s">
        <v>77</v>
      </c>
      <c r="C326" s="26" t="s">
        <v>38</v>
      </c>
      <c r="D326" s="26" t="s">
        <v>155</v>
      </c>
      <c r="E326" s="26">
        <v>9</v>
      </c>
      <c r="F326" s="8">
        <v>0.34343362439390401</v>
      </c>
      <c r="G326" s="27" t="str">
        <f t="shared" si="36"/>
        <v>Cagliari9</v>
      </c>
      <c r="H326" s="28">
        <f t="shared" si="37"/>
        <v>22</v>
      </c>
      <c r="I326" s="28">
        <f t="shared" si="38"/>
        <v>60</v>
      </c>
      <c r="J326" s="8">
        <f t="shared" si="39"/>
        <v>0.6333333333333333</v>
      </c>
      <c r="K326" s="8">
        <f t="shared" si="40"/>
        <v>0.48838347886361866</v>
      </c>
      <c r="L326" s="29">
        <f t="shared" si="41"/>
        <v>3.0527931086986961E-3</v>
      </c>
      <c r="M326" s="30">
        <f>IF(E326=1,'00-BUDGET'!E$21*L326,'00-BUDGET'!F$21*L326)</f>
        <v>8056.9628233100912</v>
      </c>
      <c r="N326" s="8">
        <f>IF(E326=1,'00-BUDGET'!H$21*L326,'00-BUDGET'!I$21*L326)</f>
        <v>12085.444234965142</v>
      </c>
      <c r="O326" s="8">
        <f>IF(E326=1,'00-BUDGET'!K$21*L326,'00-BUDGET'!L$21*L326)</f>
        <v>16113.925646620191</v>
      </c>
    </row>
    <row r="327" spans="1:15" ht="45" x14ac:dyDescent="0.3">
      <c r="A327" s="5" t="str">
        <f t="shared" si="35"/>
        <v>Centro Tuvixeddu10</v>
      </c>
      <c r="B327" s="26" t="s">
        <v>77</v>
      </c>
      <c r="C327" s="26" t="s">
        <v>38</v>
      </c>
      <c r="D327" s="26" t="s">
        <v>155</v>
      </c>
      <c r="E327" s="26">
        <v>10</v>
      </c>
      <c r="F327" s="8">
        <v>0.34343362439390401</v>
      </c>
      <c r="G327" s="27" t="str">
        <f t="shared" si="36"/>
        <v>Cagliari10</v>
      </c>
      <c r="H327" s="28">
        <f t="shared" si="37"/>
        <v>26</v>
      </c>
      <c r="I327" s="28">
        <f t="shared" si="38"/>
        <v>65</v>
      </c>
      <c r="J327" s="8">
        <f t="shared" si="39"/>
        <v>0.6</v>
      </c>
      <c r="K327" s="8">
        <f t="shared" si="40"/>
        <v>0.471716812196952</v>
      </c>
      <c r="L327" s="29">
        <f t="shared" si="41"/>
        <v>2.9486129155779812E-3</v>
      </c>
      <c r="M327" s="30">
        <f>IF(E327=1,'00-BUDGET'!E$21*L327,'00-BUDGET'!F$21*L327)</f>
        <v>7782.0093911540998</v>
      </c>
      <c r="N327" s="8">
        <f>IF(E327=1,'00-BUDGET'!H$21*L327,'00-BUDGET'!I$21*L327)</f>
        <v>11673.014086731153</v>
      </c>
      <c r="O327" s="8">
        <f>IF(E327=1,'00-BUDGET'!K$21*L327,'00-BUDGET'!L$21*L327)</f>
        <v>15564.018782308207</v>
      </c>
    </row>
    <row r="328" spans="1:15" ht="45" x14ac:dyDescent="0.3">
      <c r="A328" s="5" t="str">
        <f t="shared" si="35"/>
        <v>Centro Tuvixeddu11</v>
      </c>
      <c r="B328" s="26" t="s">
        <v>77</v>
      </c>
      <c r="C328" s="26" t="s">
        <v>38</v>
      </c>
      <c r="D328" s="26" t="s">
        <v>155</v>
      </c>
      <c r="E328" s="26">
        <v>11</v>
      </c>
      <c r="F328" s="8">
        <v>0.34343362439390401</v>
      </c>
      <c r="G328" s="27" t="str">
        <f t="shared" si="36"/>
        <v>Cagliari11</v>
      </c>
      <c r="H328" s="28">
        <f t="shared" si="37"/>
        <v>19</v>
      </c>
      <c r="I328" s="28">
        <f t="shared" si="38"/>
        <v>56</v>
      </c>
      <c r="J328" s="8">
        <f t="shared" si="39"/>
        <v>0.6607142857142857</v>
      </c>
      <c r="K328" s="8">
        <f t="shared" si="40"/>
        <v>0.50207395505409491</v>
      </c>
      <c r="L328" s="29">
        <f t="shared" si="41"/>
        <v>3.1383696959049979E-3</v>
      </c>
      <c r="M328" s="30">
        <f>IF(E328=1,'00-BUDGET'!E$21*L328,'00-BUDGET'!F$21*L328)</f>
        <v>8282.8174282953714</v>
      </c>
      <c r="N328" s="8">
        <f>IF(E328=1,'00-BUDGET'!H$21*L328,'00-BUDGET'!I$21*L328)</f>
        <v>12424.22614244306</v>
      </c>
      <c r="O328" s="8">
        <f>IF(E328=1,'00-BUDGET'!K$21*L328,'00-BUDGET'!L$21*L328)</f>
        <v>16565.63485659075</v>
      </c>
    </row>
    <row r="329" spans="1:15" ht="30" x14ac:dyDescent="0.3">
      <c r="A329" s="5" t="str">
        <f t="shared" si="35"/>
        <v>Centro Terranoa - VILLA SAN GIUSEPPE SRL8</v>
      </c>
      <c r="B329" s="26" t="s">
        <v>79</v>
      </c>
      <c r="C329" s="26" t="s">
        <v>55</v>
      </c>
      <c r="D329" s="26" t="s">
        <v>156</v>
      </c>
      <c r="E329" s="26">
        <v>8</v>
      </c>
      <c r="F329" s="8">
        <v>9.9672234005895102E-2</v>
      </c>
      <c r="G329" s="27" t="str">
        <f t="shared" si="36"/>
        <v>Gallura8</v>
      </c>
      <c r="H329" s="28">
        <f t="shared" si="37"/>
        <v>9</v>
      </c>
      <c r="I329" s="28">
        <f t="shared" si="38"/>
        <v>67</v>
      </c>
      <c r="J329" s="8">
        <f t="shared" si="39"/>
        <v>0.86567164179104483</v>
      </c>
      <c r="K329" s="8">
        <f t="shared" si="40"/>
        <v>0.48267193789846996</v>
      </c>
      <c r="L329" s="29">
        <f t="shared" si="41"/>
        <v>3.0170913422527322E-3</v>
      </c>
      <c r="M329" s="30">
        <f>IF(E329=1,'00-BUDGET'!E$21*L329,'00-BUDGET'!F$21*L329)</f>
        <v>7962.7383558340607</v>
      </c>
      <c r="N329" s="8">
        <f>IF(E329=1,'00-BUDGET'!H$21*L329,'00-BUDGET'!I$21*L329)</f>
        <v>11944.107533751096</v>
      </c>
      <c r="O329" s="8">
        <f>IF(E329=1,'00-BUDGET'!K$21*L329,'00-BUDGET'!L$21*L329)</f>
        <v>15925.476711668129</v>
      </c>
    </row>
    <row r="330" spans="1:15" ht="30" x14ac:dyDescent="0.3">
      <c r="A330" s="5" t="str">
        <f t="shared" si="35"/>
        <v>Centro Terranoa - VILLA SAN GIUSEPPE SRL9</v>
      </c>
      <c r="B330" s="26" t="s">
        <v>79</v>
      </c>
      <c r="C330" s="26" t="s">
        <v>55</v>
      </c>
      <c r="D330" s="26" t="s">
        <v>156</v>
      </c>
      <c r="E330" s="26">
        <v>9</v>
      </c>
      <c r="F330" s="8">
        <v>9.9672234005895102E-2</v>
      </c>
      <c r="G330" s="27" t="str">
        <f t="shared" si="36"/>
        <v>Gallura9</v>
      </c>
      <c r="H330" s="28">
        <f t="shared" si="37"/>
        <v>8</v>
      </c>
      <c r="I330" s="28">
        <f t="shared" si="38"/>
        <v>60</v>
      </c>
      <c r="J330" s="8">
        <f t="shared" si="39"/>
        <v>0.8666666666666667</v>
      </c>
      <c r="K330" s="8">
        <f t="shared" si="40"/>
        <v>0.48316945033628089</v>
      </c>
      <c r="L330" s="29">
        <f t="shared" si="41"/>
        <v>3.0202011987637981E-3</v>
      </c>
      <c r="M330" s="30">
        <f>IF(E330=1,'00-BUDGET'!E$21*L330,'00-BUDGET'!F$21*L330)</f>
        <v>7970.9459209730448</v>
      </c>
      <c r="N330" s="8">
        <f>IF(E330=1,'00-BUDGET'!H$21*L330,'00-BUDGET'!I$21*L330)</f>
        <v>11956.418881459571</v>
      </c>
      <c r="O330" s="8">
        <f>IF(E330=1,'00-BUDGET'!K$21*L330,'00-BUDGET'!L$21*L330)</f>
        <v>15941.891841946099</v>
      </c>
    </row>
    <row r="331" spans="1:15" ht="30" x14ac:dyDescent="0.3">
      <c r="A331" s="5" t="str">
        <f t="shared" si="35"/>
        <v>Centro Terranoa - VILLA SAN GIUSEPPE SRL10</v>
      </c>
      <c r="B331" s="26" t="s">
        <v>79</v>
      </c>
      <c r="C331" s="26" t="s">
        <v>55</v>
      </c>
      <c r="D331" s="26" t="s">
        <v>156</v>
      </c>
      <c r="E331" s="26">
        <v>10</v>
      </c>
      <c r="F331" s="8">
        <v>9.9672234005895102E-2</v>
      </c>
      <c r="G331" s="27" t="str">
        <f t="shared" si="36"/>
        <v>Gallura10</v>
      </c>
      <c r="H331" s="28">
        <f t="shared" si="37"/>
        <v>9</v>
      </c>
      <c r="I331" s="28">
        <f t="shared" si="38"/>
        <v>65</v>
      </c>
      <c r="J331" s="8">
        <f t="shared" si="39"/>
        <v>0.86153846153846159</v>
      </c>
      <c r="K331" s="8">
        <f t="shared" si="40"/>
        <v>0.48060534777217834</v>
      </c>
      <c r="L331" s="29">
        <f t="shared" si="41"/>
        <v>3.0041734767452268E-3</v>
      </c>
      <c r="M331" s="30">
        <f>IF(E331=1,'00-BUDGET'!E$21*L331,'00-BUDGET'!F$21*L331)</f>
        <v>7928.6453929490472</v>
      </c>
      <c r="N331" s="8">
        <f>IF(E331=1,'00-BUDGET'!H$21*L331,'00-BUDGET'!I$21*L331)</f>
        <v>11892.968089423573</v>
      </c>
      <c r="O331" s="8">
        <f>IF(E331=1,'00-BUDGET'!K$21*L331,'00-BUDGET'!L$21*L331)</f>
        <v>15857.290785898102</v>
      </c>
    </row>
    <row r="332" spans="1:15" ht="30" x14ac:dyDescent="0.3">
      <c r="A332" s="5" t="str">
        <f t="shared" si="35"/>
        <v>Centro Terranoa - VILLA SAN GIUSEPPE SRL11</v>
      </c>
      <c r="B332" s="26" t="s">
        <v>79</v>
      </c>
      <c r="C332" s="26" t="s">
        <v>55</v>
      </c>
      <c r="D332" s="26" t="s">
        <v>156</v>
      </c>
      <c r="E332" s="26">
        <v>11</v>
      </c>
      <c r="F332" s="8">
        <v>9.9672234005895102E-2</v>
      </c>
      <c r="G332" s="27" t="str">
        <f t="shared" si="36"/>
        <v>Gallura11</v>
      </c>
      <c r="H332" s="28">
        <f t="shared" si="37"/>
        <v>8</v>
      </c>
      <c r="I332" s="28">
        <f t="shared" si="38"/>
        <v>56</v>
      </c>
      <c r="J332" s="8">
        <f t="shared" si="39"/>
        <v>0.85714285714285721</v>
      </c>
      <c r="K332" s="8">
        <f t="shared" si="40"/>
        <v>0.47840754557437615</v>
      </c>
      <c r="L332" s="29">
        <f t="shared" si="41"/>
        <v>2.9904354293007369E-3</v>
      </c>
      <c r="M332" s="30">
        <f>IF(E332=1,'00-BUDGET'!E$21*L332,'00-BUDGET'!F$21*L332)</f>
        <v>7892.387797499905</v>
      </c>
      <c r="N332" s="8">
        <f>IF(E332=1,'00-BUDGET'!H$21*L332,'00-BUDGET'!I$21*L332)</f>
        <v>11838.581696249861</v>
      </c>
      <c r="O332" s="8">
        <f>IF(E332=1,'00-BUDGET'!K$21*L332,'00-BUDGET'!L$21*L332)</f>
        <v>15784.775594999819</v>
      </c>
    </row>
    <row r="333" spans="1:15" ht="60" x14ac:dyDescent="0.3">
      <c r="A333" s="5" t="str">
        <f t="shared" si="35"/>
        <v>C.M.F. - Capoterra, via Monteverdi10</v>
      </c>
      <c r="B333" s="26" t="s">
        <v>77</v>
      </c>
      <c r="C333" s="26" t="s">
        <v>33</v>
      </c>
      <c r="D333" s="26" t="s">
        <v>157</v>
      </c>
      <c r="E333" s="26">
        <v>10</v>
      </c>
      <c r="F333" s="8">
        <v>0.34343362439390401</v>
      </c>
      <c r="G333" s="27" t="str">
        <f t="shared" si="36"/>
        <v>Cagliari10</v>
      </c>
      <c r="H333" s="28">
        <f t="shared" si="37"/>
        <v>26</v>
      </c>
      <c r="I333" s="28">
        <f t="shared" si="38"/>
        <v>65</v>
      </c>
      <c r="J333" s="8">
        <f t="shared" si="39"/>
        <v>0.6</v>
      </c>
      <c r="K333" s="8">
        <f t="shared" si="40"/>
        <v>0.471716812196952</v>
      </c>
      <c r="L333" s="29">
        <f t="shared" si="41"/>
        <v>2.9486129155779812E-3</v>
      </c>
      <c r="M333" s="30">
        <f>IF(E333=1,'00-BUDGET'!E$21*L333,'00-BUDGET'!F$21*L333)</f>
        <v>7782.0093911540998</v>
      </c>
      <c r="N333" s="8">
        <f>IF(E333=1,'00-BUDGET'!H$21*L333,'00-BUDGET'!I$21*L333)</f>
        <v>11673.014086731153</v>
      </c>
      <c r="O333" s="8">
        <f>IF(E333=1,'00-BUDGET'!K$21*L333,'00-BUDGET'!L$21*L333)</f>
        <v>15564.018782308207</v>
      </c>
    </row>
    <row r="334" spans="1:15" ht="45" x14ac:dyDescent="0.3">
      <c r="A334" s="5" t="str">
        <f t="shared" si="35"/>
        <v>CENTRO FISIOTERAPICO S.B. SRL  Selargius Via E. Lussu n. 924</v>
      </c>
      <c r="B334" s="26" t="s">
        <v>77</v>
      </c>
      <c r="C334" s="26" t="s">
        <v>37</v>
      </c>
      <c r="D334" s="26" t="s">
        <v>158</v>
      </c>
      <c r="E334" s="26">
        <v>4</v>
      </c>
      <c r="F334" s="8">
        <v>0.34343362439390401</v>
      </c>
      <c r="G334" s="27" t="str">
        <f t="shared" si="36"/>
        <v>Cagliari4</v>
      </c>
      <c r="H334" s="28">
        <f t="shared" si="37"/>
        <v>3</v>
      </c>
      <c r="I334" s="28">
        <f t="shared" si="38"/>
        <v>6</v>
      </c>
      <c r="J334" s="8">
        <f t="shared" si="39"/>
        <v>0.5</v>
      </c>
      <c r="K334" s="8">
        <f t="shared" si="40"/>
        <v>0.42171681219695201</v>
      </c>
      <c r="L334" s="29">
        <f t="shared" si="41"/>
        <v>2.6360723362158374E-3</v>
      </c>
      <c r="M334" s="30">
        <f>IF(E334=1,'00-BUDGET'!E$21*L334,'00-BUDGET'!F$21*L334)</f>
        <v>6957.1490946861277</v>
      </c>
      <c r="N334" s="8">
        <f>IF(E334=1,'00-BUDGET'!H$21*L334,'00-BUDGET'!I$21*L334)</f>
        <v>10435.723642029194</v>
      </c>
      <c r="O334" s="8">
        <f>IF(E334=1,'00-BUDGET'!K$21*L334,'00-BUDGET'!L$21*L334)</f>
        <v>13914.298189372263</v>
      </c>
    </row>
  </sheetData>
  <autoFilter ref="A1:O334"/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31"/>
  <sheetViews>
    <sheetView zoomScale="90" zoomScaleNormal="90" workbookViewId="0">
      <selection activeCell="J29" sqref="J29"/>
    </sheetView>
  </sheetViews>
  <sheetFormatPr defaultColWidth="8.59765625" defaultRowHeight="15.6" x14ac:dyDescent="0.3"/>
  <cols>
    <col min="1" max="1" width="79" style="5" customWidth="1"/>
    <col min="2" max="4" width="26.8984375" style="5" customWidth="1"/>
    <col min="5" max="16378" width="8.59765625" style="6"/>
    <col min="16379" max="16384" width="10.5" style="5" customWidth="1"/>
  </cols>
  <sheetData>
    <row r="1" spans="1:4" ht="52.2" x14ac:dyDescent="0.3">
      <c r="A1" s="19" t="s">
        <v>22</v>
      </c>
      <c r="B1" s="19" t="s">
        <v>68</v>
      </c>
      <c r="C1" s="19" t="s">
        <v>69</v>
      </c>
      <c r="D1" s="19" t="s">
        <v>70</v>
      </c>
    </row>
    <row r="2" spans="1:4" ht="15" customHeight="1" x14ac:dyDescent="0.3">
      <c r="A2" s="20" t="s">
        <v>27</v>
      </c>
      <c r="B2" s="21">
        <f>SUMIF('03-CAPILLARIZZAZIONE calc'!C$2:C$398,A2,'03-CAPILLARIZZAZIONE calc'!M$2:M$398)</f>
        <v>188319.61942228006</v>
      </c>
      <c r="C2" s="21">
        <f>SUMIF('03-CAPILLARIZZAZIONE calc'!C$2:C$398,A2,'03-CAPILLARIZZAZIONE calc'!N$2:N$398)</f>
        <v>282479.42913342017</v>
      </c>
      <c r="D2" s="21">
        <f>SUMIF('03-CAPILLARIZZAZIONE calc'!C$2:C$398,A2,'03-CAPILLARIZZAZIONE calc'!O$2:O$398)</f>
        <v>376639.23884456028</v>
      </c>
    </row>
    <row r="3" spans="1:4" ht="15" customHeight="1" x14ac:dyDescent="0.3">
      <c r="A3" s="20" t="s">
        <v>28</v>
      </c>
      <c r="B3" s="21">
        <f>SUMIF('03-CAPILLARIZZAZIONE calc'!C$2:C$398,A3,'03-CAPILLARIZZAZIONE calc'!M$2:M$398)</f>
        <v>176423.70592771986</v>
      </c>
      <c r="C3" s="21">
        <f>SUMIF('03-CAPILLARIZZAZIONE calc'!C$2:C$398,A3,'03-CAPILLARIZZAZIONE calc'!N$2:N$398)</f>
        <v>264635.55889157986</v>
      </c>
      <c r="D3" s="21">
        <f>SUMIF('03-CAPILLARIZZAZIONE calc'!C$2:C$398,A3,'03-CAPILLARIZZAZIONE calc'!O$2:O$398)</f>
        <v>352847.41185543989</v>
      </c>
    </row>
    <row r="4" spans="1:4" ht="15" customHeight="1" x14ac:dyDescent="0.3">
      <c r="A4" s="20"/>
      <c r="B4" s="21">
        <f>SUMIF('03-CAPILLARIZZAZIONE calc'!C$2:C$398,A4,'03-CAPILLARIZZAZIONE calc'!M$2:M$398)</f>
        <v>0</v>
      </c>
      <c r="C4" s="21">
        <f>SUMIF('03-CAPILLARIZZAZIONE calc'!C$2:C$398,A4,'03-CAPILLARIZZAZIONE calc'!N$2:N$398)</f>
        <v>0</v>
      </c>
      <c r="D4" s="21">
        <f>SUMIF('03-CAPILLARIZZAZIONE calc'!C$2:C$398,A4,'03-CAPILLARIZZAZIONE calc'!O$2:O$398)</f>
        <v>0</v>
      </c>
    </row>
    <row r="5" spans="1:4" ht="15" customHeight="1" x14ac:dyDescent="0.3">
      <c r="A5" s="20" t="s">
        <v>29</v>
      </c>
      <c r="B5" s="21">
        <f>SUMIF('03-CAPILLARIZZAZIONE calc'!C$2:C$398,A5,'03-CAPILLARIZZAZIONE calc'!M$2:M$398)</f>
        <v>1416289.9382903161</v>
      </c>
      <c r="C5" s="21">
        <f>SUMIF('03-CAPILLARIZZAZIONE calc'!C$2:C$398,A5,'03-CAPILLARIZZAZIONE calc'!N$2:N$398)</f>
        <v>2124434.9074354777</v>
      </c>
      <c r="D5" s="21">
        <f>SUMIF('03-CAPILLARIZZAZIONE calc'!C$2:C$398,A5,'03-CAPILLARIZZAZIONE calc'!O$2:O$398)</f>
        <v>2832579.8765806337</v>
      </c>
    </row>
    <row r="6" spans="1:4" ht="15" customHeight="1" x14ac:dyDescent="0.3">
      <c r="A6" s="20" t="s">
        <v>30</v>
      </c>
      <c r="B6" s="21">
        <f>SUMIF('03-CAPILLARIZZAZIONE calc'!C$2:C$398,A6,'03-CAPILLARIZZAZIONE calc'!M$2:M$398)</f>
        <v>39217.207752913848</v>
      </c>
      <c r="C6" s="21">
        <f>SUMIF('03-CAPILLARIZZAZIONE calc'!C$2:C$398,A6,'03-CAPILLARIZZAZIONE calc'!N$2:N$398)</f>
        <v>58825.811629370801</v>
      </c>
      <c r="D6" s="21">
        <f>SUMIF('03-CAPILLARIZZAZIONE calc'!C$2:C$398,A6,'03-CAPILLARIZZAZIONE calc'!O$2:O$398)</f>
        <v>78434.415505827739</v>
      </c>
    </row>
    <row r="7" spans="1:4" ht="15" customHeight="1" x14ac:dyDescent="0.3">
      <c r="A7" s="20" t="s">
        <v>31</v>
      </c>
      <c r="B7" s="21">
        <f>SUMIF('03-CAPILLARIZZAZIONE calc'!C$2:C$398,A7,'03-CAPILLARIZZAZIONE calc'!M$2:M$398)</f>
        <v>30934.390324618478</v>
      </c>
      <c r="C7" s="21">
        <f>SUMIF('03-CAPILLARIZZAZIONE calc'!C$2:C$398,A7,'03-CAPILLARIZZAZIONE calc'!N$2:N$398)</f>
        <v>46401.585486927739</v>
      </c>
      <c r="D7" s="21">
        <f>SUMIF('03-CAPILLARIZZAZIONE calc'!C$2:C$398,A7,'03-CAPILLARIZZAZIONE calc'!O$2:O$398)</f>
        <v>61868.780649236993</v>
      </c>
    </row>
    <row r="8" spans="1:4" ht="15" customHeight="1" x14ac:dyDescent="0.3">
      <c r="A8" s="20" t="s">
        <v>32</v>
      </c>
      <c r="B8" s="21">
        <f>SUMIF('03-CAPILLARIZZAZIONE calc'!C$2:C$398,A8,'03-CAPILLARIZZAZIONE calc'!M$2:M$398)</f>
        <v>33512.831114875436</v>
      </c>
      <c r="C8" s="21">
        <f>SUMIF('03-CAPILLARIZZAZIONE calc'!C$2:C$398,A8,'03-CAPILLARIZZAZIONE calc'!N$2:N$398)</f>
        <v>50269.246672313166</v>
      </c>
      <c r="D8" s="21">
        <f>SUMIF('03-CAPILLARIZZAZIONE calc'!C$2:C$398,A8,'03-CAPILLARIZZAZIONE calc'!O$2:O$398)</f>
        <v>67025.662229750902</v>
      </c>
    </row>
    <row r="9" spans="1:4" ht="15" customHeight="1" x14ac:dyDescent="0.3">
      <c r="A9" s="20" t="s">
        <v>33</v>
      </c>
      <c r="B9" s="21">
        <f>SUMIF('03-CAPILLARIZZAZIONE calc'!C$2:C$398,A9,'03-CAPILLARIZZAZIONE calc'!M$2:M$398)</f>
        <v>38282.16822263816</v>
      </c>
      <c r="C9" s="21">
        <f>SUMIF('03-CAPILLARIZZAZIONE calc'!C$2:C$398,A9,'03-CAPILLARIZZAZIONE calc'!N$2:N$398)</f>
        <v>57423.252333957265</v>
      </c>
      <c r="D9" s="21">
        <f>SUMIF('03-CAPILLARIZZAZIONE calc'!C$2:C$398,A9,'03-CAPILLARIZZAZIONE calc'!O$2:O$398)</f>
        <v>76564.336445276364</v>
      </c>
    </row>
    <row r="10" spans="1:4" ht="15" customHeight="1" x14ac:dyDescent="0.3">
      <c r="A10" s="20" t="s">
        <v>34</v>
      </c>
      <c r="B10" s="21">
        <f>SUMIF('03-CAPILLARIZZAZIONE calc'!C$2:C$398,A10,'03-CAPILLARIZZAZIONE calc'!M$2:M$398)</f>
        <v>36401.450428692697</v>
      </c>
      <c r="C10" s="21">
        <f>SUMIF('03-CAPILLARIZZAZIONE calc'!C$2:C$398,A10,'03-CAPILLARIZZAZIONE calc'!N$2:N$398)</f>
        <v>54602.175643039052</v>
      </c>
      <c r="D10" s="21">
        <f>SUMIF('03-CAPILLARIZZAZIONE calc'!C$2:C$398,A10,'03-CAPILLARIZZAZIONE calc'!O$2:O$398)</f>
        <v>72802.900857385423</v>
      </c>
    </row>
    <row r="11" spans="1:4" ht="15" customHeight="1" x14ac:dyDescent="0.3">
      <c r="A11" s="20" t="s">
        <v>35</v>
      </c>
      <c r="B11" s="21">
        <f>SUMIF('03-CAPILLARIZZAZIONE calc'!C$2:C$398,A11,'03-CAPILLARIZZAZIONE calc'!M$2:M$398)</f>
        <v>77465.006796532514</v>
      </c>
      <c r="C11" s="21">
        <f>SUMIF('03-CAPILLARIZZAZIONE calc'!C$2:C$398,A11,'03-CAPILLARIZZAZIONE calc'!N$2:N$398)</f>
        <v>116197.51019479882</v>
      </c>
      <c r="D11" s="21">
        <f>SUMIF('03-CAPILLARIZZAZIONE calc'!C$2:C$398,A11,'03-CAPILLARIZZAZIONE calc'!O$2:O$398)</f>
        <v>154930.01359306512</v>
      </c>
    </row>
    <row r="12" spans="1:4" ht="15" customHeight="1" x14ac:dyDescent="0.3">
      <c r="A12" s="20" t="s">
        <v>36</v>
      </c>
      <c r="B12" s="21">
        <f>SUMIF('03-CAPILLARIZZAZIONE calc'!C$2:C$398,A12,'03-CAPILLARIZZAZIONE calc'!M$2:M$398)</f>
        <v>55342.093704856226</v>
      </c>
      <c r="C12" s="21">
        <f>SUMIF('03-CAPILLARIZZAZIONE calc'!C$2:C$398,A12,'03-CAPILLARIZZAZIONE calc'!N$2:N$398)</f>
        <v>83013.140557284351</v>
      </c>
      <c r="D12" s="21">
        <f>SUMIF('03-CAPILLARIZZAZIONE calc'!C$2:C$398,A12,'03-CAPILLARIZZAZIONE calc'!O$2:O$398)</f>
        <v>110684.1874097125</v>
      </c>
    </row>
    <row r="13" spans="1:4" ht="15" customHeight="1" x14ac:dyDescent="0.3">
      <c r="A13" s="20" t="s">
        <v>37</v>
      </c>
      <c r="B13" s="21">
        <f>SUMIF('03-CAPILLARIZZAZIONE calc'!C$2:C$398,A13,'03-CAPILLARIZZAZIONE calc'!M$2:M$398)</f>
        <v>23665.255013908802</v>
      </c>
      <c r="C13" s="21">
        <f>SUMIF('03-CAPILLARIZZAZIONE calc'!C$2:C$398,A13,'03-CAPILLARIZZAZIONE calc'!N$2:N$398)</f>
        <v>35497.882520863219</v>
      </c>
      <c r="D13" s="21">
        <f>SUMIF('03-CAPILLARIZZAZIONE calc'!C$2:C$398,A13,'03-CAPILLARIZZAZIONE calc'!O$2:O$398)</f>
        <v>47330.510027817625</v>
      </c>
    </row>
    <row r="14" spans="1:4" ht="15" customHeight="1" x14ac:dyDescent="0.3">
      <c r="A14" s="20" t="s">
        <v>38</v>
      </c>
      <c r="B14" s="21">
        <f>SUMIF('03-CAPILLARIZZAZIONE calc'!C$2:C$398,A14,'03-CAPILLARIZZAZIONE calc'!M$2:M$398)</f>
        <v>32002.289815581484</v>
      </c>
      <c r="C14" s="21">
        <f>SUMIF('03-CAPILLARIZZAZIONE calc'!C$2:C$398,A14,'03-CAPILLARIZZAZIONE calc'!N$2:N$398)</f>
        <v>48003.434723372236</v>
      </c>
      <c r="D14" s="21">
        <f>SUMIF('03-CAPILLARIZZAZIONE calc'!C$2:C$398,A14,'03-CAPILLARIZZAZIONE calc'!O$2:O$398)</f>
        <v>64004.579631162997</v>
      </c>
    </row>
    <row r="15" spans="1:4" ht="15" customHeight="1" x14ac:dyDescent="0.3">
      <c r="A15" s="20" t="s">
        <v>39</v>
      </c>
      <c r="B15" s="21">
        <f>SUMIF('03-CAPILLARIZZAZIONE calc'!C$2:C$398,A15,'03-CAPILLARIZZAZIONE calc'!M$2:M$398)</f>
        <v>33512.831114875436</v>
      </c>
      <c r="C15" s="21">
        <f>SUMIF('03-CAPILLARIZZAZIONE calc'!C$2:C$398,A15,'03-CAPILLARIZZAZIONE calc'!N$2:N$398)</f>
        <v>50269.246672313166</v>
      </c>
      <c r="D15" s="21">
        <f>SUMIF('03-CAPILLARIZZAZIONE calc'!C$2:C$398,A15,'03-CAPILLARIZZAZIONE calc'!O$2:O$398)</f>
        <v>67025.662229750902</v>
      </c>
    </row>
    <row r="16" spans="1:4" ht="15" customHeight="1" x14ac:dyDescent="0.3">
      <c r="A16" s="20" t="s">
        <v>40</v>
      </c>
      <c r="B16" s="21">
        <f>SUMIF('03-CAPILLARIZZAZIONE calc'!C$2:C$398,A16,'03-CAPILLARIZZAZIONE calc'!M$2:M$398)</f>
        <v>32002.289815581484</v>
      </c>
      <c r="C16" s="21">
        <f>SUMIF('03-CAPILLARIZZAZIONE calc'!C$2:C$398,A16,'03-CAPILLARIZZAZIONE calc'!N$2:N$398)</f>
        <v>48003.434723372236</v>
      </c>
      <c r="D16" s="21">
        <f>SUMIF('03-CAPILLARIZZAZIONE calc'!C$2:C$398,A16,'03-CAPILLARIZZAZIONE calc'!O$2:O$398)</f>
        <v>64004.579631162997</v>
      </c>
    </row>
    <row r="17" spans="1:4" ht="15" customHeight="1" x14ac:dyDescent="0.3">
      <c r="A17" s="20" t="s">
        <v>41</v>
      </c>
      <c r="B17" s="21">
        <f>SUMIF('03-CAPILLARIZZAZIONE calc'!C$2:C$398,A17,'03-CAPILLARIZZAZIONE calc'!M$2:M$398)</f>
        <v>39217.207752913848</v>
      </c>
      <c r="C17" s="21">
        <f>SUMIF('03-CAPILLARIZZAZIONE calc'!C$2:C$398,A17,'03-CAPILLARIZZAZIONE calc'!N$2:N$398)</f>
        <v>58825.811629370801</v>
      </c>
      <c r="D17" s="21">
        <f>SUMIF('03-CAPILLARIZZAZIONE calc'!C$2:C$398,A17,'03-CAPILLARIZZAZIONE calc'!O$2:O$398)</f>
        <v>78434.415505827739</v>
      </c>
    </row>
    <row r="18" spans="1:4" ht="15" customHeight="1" x14ac:dyDescent="0.3">
      <c r="A18" s="20" t="s">
        <v>42</v>
      </c>
      <c r="B18" s="21">
        <f>SUMIF('03-CAPILLARIZZAZIONE calc'!C$2:C$398,A18,'03-CAPILLARIZZAZIONE calc'!M$2:M$398)</f>
        <v>30934.390324618478</v>
      </c>
      <c r="C18" s="21">
        <f>SUMIF('03-CAPILLARIZZAZIONE calc'!C$2:C$398,A18,'03-CAPILLARIZZAZIONE calc'!N$2:N$398)</f>
        <v>46401.585486927739</v>
      </c>
      <c r="D18" s="21">
        <f>SUMIF('03-CAPILLARIZZAZIONE calc'!C$2:C$398,A18,'03-CAPILLARIZZAZIONE calc'!O$2:O$398)</f>
        <v>61868.780649236993</v>
      </c>
    </row>
    <row r="19" spans="1:4" ht="15" customHeight="1" x14ac:dyDescent="0.3">
      <c r="A19" s="20" t="s">
        <v>43</v>
      </c>
      <c r="B19" s="21">
        <f>SUMIF('03-CAPILLARIZZAZIONE calc'!C$2:C$398,A19,'03-CAPILLARIZZAZIONE calc'!M$2:M$398)</f>
        <v>30580.985505570152</v>
      </c>
      <c r="C19" s="21">
        <f>SUMIF('03-CAPILLARIZZAZIONE calc'!C$2:C$398,A19,'03-CAPILLARIZZAZIONE calc'!N$2:N$398)</f>
        <v>45871.478258355244</v>
      </c>
      <c r="D19" s="21">
        <f>SUMIF('03-CAPILLARIZZAZIONE calc'!C$2:C$398,A19,'03-CAPILLARIZZAZIONE calc'!O$2:O$398)</f>
        <v>61161.971011140333</v>
      </c>
    </row>
    <row r="20" spans="1:4" ht="15" customHeight="1" x14ac:dyDescent="0.3">
      <c r="A20" s="20" t="s">
        <v>44</v>
      </c>
      <c r="B20" s="21">
        <f>SUMIF('03-CAPILLARIZZAZIONE calc'!C$2:C$398,A20,'03-CAPILLARIZZAZIONE calc'!M$2:M$398)</f>
        <v>39217.207752913848</v>
      </c>
      <c r="C20" s="21">
        <f>SUMIF('03-CAPILLARIZZAZIONE calc'!C$2:C$398,A20,'03-CAPILLARIZZAZIONE calc'!N$2:N$398)</f>
        <v>58825.811629370801</v>
      </c>
      <c r="D20" s="21">
        <f>SUMIF('03-CAPILLARIZZAZIONE calc'!C$2:C$398,A20,'03-CAPILLARIZZAZIONE calc'!O$2:O$398)</f>
        <v>78434.415505827739</v>
      </c>
    </row>
    <row r="21" spans="1:4" ht="15" customHeight="1" x14ac:dyDescent="0.3">
      <c r="A21" s="20" t="s">
        <v>45</v>
      </c>
      <c r="B21" s="21">
        <f>SUMIF('03-CAPILLARIZZAZIONE calc'!C$2:C$398,A21,'03-CAPILLARIZZAZIONE calc'!M$2:M$398)</f>
        <v>111815.94239365126</v>
      </c>
      <c r="C21" s="21">
        <f>SUMIF('03-CAPILLARIZZAZIONE calc'!C$2:C$398,A21,'03-CAPILLARIZZAZIONE calc'!N$2:N$398)</f>
        <v>167723.91359047696</v>
      </c>
      <c r="D21" s="21">
        <f>SUMIF('03-CAPILLARIZZAZIONE calc'!C$2:C$398,A21,'03-CAPILLARIZZAZIONE calc'!O$2:O$398)</f>
        <v>223631.88478730264</v>
      </c>
    </row>
    <row r="22" spans="1:4" ht="15" customHeight="1" x14ac:dyDescent="0.3">
      <c r="A22" s="20" t="s">
        <v>46</v>
      </c>
      <c r="B22" s="21">
        <f>SUMIF('03-CAPILLARIZZAZIONE calc'!C$2:C$398,A22,'03-CAPILLARIZZAZIONE calc'!M$2:M$398)</f>
        <v>128306.60994471489</v>
      </c>
      <c r="C22" s="21">
        <f>SUMIF('03-CAPILLARIZZAZIONE calc'!C$2:C$398,A22,'03-CAPILLARIZZAZIONE calc'!N$2:N$398)</f>
        <v>192459.91491707234</v>
      </c>
      <c r="D22" s="21">
        <f>SUMIF('03-CAPILLARIZZAZIONE calc'!C$2:C$398,A22,'03-CAPILLARIZZAZIONE calc'!O$2:O$398)</f>
        <v>256613.21988942986</v>
      </c>
    </row>
    <row r="23" spans="1:4" ht="15" customHeight="1" x14ac:dyDescent="0.3">
      <c r="A23" s="20" t="s">
        <v>47</v>
      </c>
      <c r="B23" s="21">
        <f>SUMIF('03-CAPILLARIZZAZIONE calc'!C$2:C$398,A23,'03-CAPILLARIZZAZIONE calc'!M$2:M$398)</f>
        <v>81144.269449223852</v>
      </c>
      <c r="C23" s="21">
        <f>SUMIF('03-CAPILLARIZZAZIONE calc'!C$2:C$398,A23,'03-CAPILLARIZZAZIONE calc'!N$2:N$398)</f>
        <v>121716.40417383582</v>
      </c>
      <c r="D23" s="21">
        <f>SUMIF('03-CAPILLARIZZAZIONE calc'!C$2:C$398,A23,'03-CAPILLARIZZAZIONE calc'!O$2:O$398)</f>
        <v>162288.53889844776</v>
      </c>
    </row>
    <row r="24" spans="1:4" ht="15" customHeight="1" x14ac:dyDescent="0.3">
      <c r="A24" s="20" t="s">
        <v>48</v>
      </c>
      <c r="B24" s="21">
        <f>SUMIF('03-CAPILLARIZZAZIONE calc'!C$2:C$398,A24,'03-CAPILLARIZZAZIONE calc'!M$2:M$398)</f>
        <v>32571.266683055532</v>
      </c>
      <c r="C24" s="21">
        <f>SUMIF('03-CAPILLARIZZAZIONE calc'!C$2:C$398,A24,'03-CAPILLARIZZAZIONE calc'!N$2:N$398)</f>
        <v>48856.900024583316</v>
      </c>
      <c r="D24" s="21">
        <f>SUMIF('03-CAPILLARIZZAZIONE calc'!C$2:C$398,A24,'03-CAPILLARIZZAZIONE calc'!O$2:O$398)</f>
        <v>65142.533366111107</v>
      </c>
    </row>
    <row r="25" spans="1:4" ht="15" customHeight="1" x14ac:dyDescent="0.3">
      <c r="A25" s="20" t="s">
        <v>49</v>
      </c>
      <c r="B25" s="21">
        <f>SUMIF('03-CAPILLARIZZAZIONE calc'!C$2:C$398,A25,'03-CAPILLARIZZAZIONE calc'!M$2:M$398)</f>
        <v>25332.289065485242</v>
      </c>
      <c r="C25" s="21">
        <f>SUMIF('03-CAPILLARIZZAZIONE calc'!C$2:C$398,A25,'03-CAPILLARIZZAZIONE calc'!N$2:N$398)</f>
        <v>37998.433598227872</v>
      </c>
      <c r="D25" s="21">
        <f>SUMIF('03-CAPILLARIZZAZIONE calc'!C$2:C$398,A25,'03-CAPILLARIZZAZIONE calc'!O$2:O$398)</f>
        <v>50664.578130970505</v>
      </c>
    </row>
    <row r="26" spans="1:4" ht="15" customHeight="1" x14ac:dyDescent="0.3">
      <c r="A26" s="20" t="s">
        <v>50</v>
      </c>
      <c r="B26" s="21">
        <f>SUMIF('03-CAPILLARIZZAZIONE calc'!C$2:C$398,A26,'03-CAPILLARIZZAZIONE calc'!M$2:M$398)</f>
        <v>32002.289815581484</v>
      </c>
      <c r="C26" s="21">
        <f>SUMIF('03-CAPILLARIZZAZIONE calc'!C$2:C$398,A26,'03-CAPILLARIZZAZIONE calc'!N$2:N$398)</f>
        <v>48003.434723372236</v>
      </c>
      <c r="D26" s="21">
        <f>SUMIF('03-CAPILLARIZZAZIONE calc'!C$2:C$398,A26,'03-CAPILLARIZZAZIONE calc'!O$2:O$398)</f>
        <v>64004.579631162997</v>
      </c>
    </row>
    <row r="27" spans="1:4" ht="15" customHeight="1" x14ac:dyDescent="0.3">
      <c r="A27" s="20" t="s">
        <v>51</v>
      </c>
      <c r="B27" s="21">
        <f>SUMIF('03-CAPILLARIZZAZIONE calc'!C$2:C$398,A27,'03-CAPILLARIZZAZIONE calc'!M$2:M$398)</f>
        <v>7421.0390566610631</v>
      </c>
      <c r="C27" s="21">
        <f>SUMIF('03-CAPILLARIZZAZIONE calc'!C$2:C$398,A27,'03-CAPILLARIZZAZIONE calc'!N$2:N$398)</f>
        <v>11131.558584991599</v>
      </c>
      <c r="D27" s="21">
        <f>SUMIF('03-CAPILLARIZZAZIONE calc'!C$2:C$398,A27,'03-CAPILLARIZZAZIONE calc'!O$2:O$398)</f>
        <v>14842.078113322134</v>
      </c>
    </row>
    <row r="28" spans="1:4" ht="15" customHeight="1" x14ac:dyDescent="0.3">
      <c r="A28" s="20" t="s">
        <v>52</v>
      </c>
      <c r="B28" s="21">
        <f>SUMIF('03-CAPILLARIZZAZIONE calc'!C$2:C$398,A28,'03-CAPILLARIZZAZIONE calc'!M$2:M$398)</f>
        <v>39536.632903621859</v>
      </c>
      <c r="C28" s="21">
        <f>SUMIF('03-CAPILLARIZZAZIONE calc'!C$2:C$398,A28,'03-CAPILLARIZZAZIONE calc'!N$2:N$398)</f>
        <v>59304.949355432807</v>
      </c>
      <c r="D28" s="21">
        <f>SUMIF('03-CAPILLARIZZAZIONE calc'!C$2:C$398,A28,'03-CAPILLARIZZAZIONE calc'!O$2:O$398)</f>
        <v>79073.265807243763</v>
      </c>
    </row>
    <row r="29" spans="1:4" ht="15" customHeight="1" x14ac:dyDescent="0.3">
      <c r="A29" s="24" t="s">
        <v>53</v>
      </c>
      <c r="B29" s="21">
        <f>SUMIF('03-CAPILLARIZZAZIONE calc'!C$2:C$398,A29,'03-CAPILLARIZZAZIONE calc'!M$2:M$398)</f>
        <v>79073.265807243719</v>
      </c>
      <c r="C29" s="21">
        <f>SUMIF('03-CAPILLARIZZAZIONE calc'!C$2:C$398,A29,'03-CAPILLARIZZAZIONE calc'!N$2:N$398)</f>
        <v>118609.89871086563</v>
      </c>
      <c r="D29" s="21">
        <f>SUMIF('03-CAPILLARIZZAZIONE calc'!C$2:C$398,A29,'03-CAPILLARIZZAZIONE calc'!O$2:O$398)</f>
        <v>158146.5316144875</v>
      </c>
    </row>
    <row r="30" spans="1:4" ht="15" customHeight="1" x14ac:dyDescent="0.3">
      <c r="A30" s="24" t="s">
        <v>54</v>
      </c>
      <c r="B30" s="21">
        <f>SUMIF('03-CAPILLARIZZAZIONE calc'!C$2:C$398,A30,'03-CAPILLARIZZAZIONE calc'!M$2:M$398)</f>
        <v>81674.370482093946</v>
      </c>
      <c r="C30" s="21">
        <f>SUMIF('03-CAPILLARIZZAZIONE calc'!C$2:C$398,A30,'03-CAPILLARIZZAZIONE calc'!N$2:N$398)</f>
        <v>122511.55572314095</v>
      </c>
      <c r="D30" s="21">
        <f>SUMIF('03-CAPILLARIZZAZIONE calc'!C$2:C$398,A30,'03-CAPILLARIZZAZIONE calc'!O$2:O$398)</f>
        <v>163348.74096418798</v>
      </c>
    </row>
    <row r="31" spans="1:4" ht="15" customHeight="1" x14ac:dyDescent="0.3">
      <c r="A31" s="20" t="s">
        <v>55</v>
      </c>
      <c r="B31" s="21">
        <f>SUMIF('03-CAPILLARIZZAZIONE calc'!C$2:C$398,A31,'03-CAPILLARIZZAZIONE calc'!M$2:M$398)</f>
        <v>31754.717467256058</v>
      </c>
      <c r="C31" s="21">
        <f>SUMIF('03-CAPILLARIZZAZIONE calc'!C$2:C$398,A31,'03-CAPILLARIZZAZIONE calc'!N$2:N$398)</f>
        <v>47632.076200884097</v>
      </c>
      <c r="D31" s="21">
        <f>SUMIF('03-CAPILLARIZZAZIONE calc'!C$2:C$398,A31,'03-CAPILLARIZZAZIONE calc'!O$2:O$398)</f>
        <v>63509.434934512152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S31"/>
  <sheetViews>
    <sheetView tabSelected="1" topLeftCell="B7" zoomScale="90" zoomScaleNormal="90" workbookViewId="0">
      <selection activeCell="D34" sqref="D34"/>
    </sheetView>
  </sheetViews>
  <sheetFormatPr defaultColWidth="8.59765625" defaultRowHeight="15.6" x14ac:dyDescent="0.3"/>
  <cols>
    <col min="1" max="1" width="9.09765625" style="5" hidden="1" customWidth="1"/>
    <col min="2" max="2" width="79" style="5" customWidth="1"/>
    <col min="3" max="3" width="17.3984375" style="5" customWidth="1"/>
    <col min="4" max="4" width="19.19921875" style="5" customWidth="1"/>
    <col min="5" max="5" width="23.59765625" style="5" hidden="1" customWidth="1"/>
    <col min="6" max="6" width="23.19921875" style="5" customWidth="1"/>
    <col min="7" max="7" width="23.19921875" style="5" hidden="1" customWidth="1"/>
    <col min="8" max="8" width="23.19921875" style="5" customWidth="1"/>
    <col min="9" max="9" width="23.19921875" style="5" hidden="1" customWidth="1"/>
    <col min="10" max="10" width="23.19921875" style="5" customWidth="1"/>
    <col min="11" max="16347" width="8.59765625" style="6"/>
    <col min="16348" max="16384" width="10.5" style="5" customWidth="1"/>
  </cols>
  <sheetData>
    <row r="1" spans="1:11" ht="63.45" customHeight="1" x14ac:dyDescent="0.3">
      <c r="A1" s="6" t="s">
        <v>58</v>
      </c>
      <c r="B1" s="19" t="s">
        <v>22</v>
      </c>
      <c r="C1" s="19" t="s">
        <v>20</v>
      </c>
      <c r="D1" s="19" t="s">
        <v>23</v>
      </c>
      <c r="E1" s="19" t="s">
        <v>159</v>
      </c>
      <c r="F1" s="19" t="s">
        <v>160</v>
      </c>
      <c r="G1" s="19" t="s">
        <v>161</v>
      </c>
      <c r="H1" s="19" t="s">
        <v>162</v>
      </c>
      <c r="I1" s="19" t="s">
        <v>163</v>
      </c>
      <c r="J1" s="19" t="s">
        <v>164</v>
      </c>
    </row>
    <row r="2" spans="1:11" ht="15" customHeight="1" x14ac:dyDescent="0.3">
      <c r="A2" s="5" t="e">
        <f>CONCATENATE(#REF!,#REF!)</f>
        <v>#REF!</v>
      </c>
      <c r="B2" s="20" t="s">
        <v>27</v>
      </c>
      <c r="C2" s="21">
        <f>VLOOKUP(B2,'02-CAPACITA'!A$2:B$38,2,0)</f>
        <v>5903802</v>
      </c>
      <c r="D2" s="21">
        <f>VLOOKUP(B2,'01-FATTURATO'!A$2:B$38,2,0)</f>
        <v>4845671.4000000004</v>
      </c>
      <c r="E2" s="21">
        <f>VLOOKUP(B2,'02-CAPACITA'!A$2:E$38,4,0)+VLOOKUP(B2,'01-FATTURATO'!A$2:F$39,4,0)+VLOOKUP(B2,'03-CAPILLARIZZAZIONE'!A$2:D$38,2,0)</f>
        <v>5347719.0747578675</v>
      </c>
      <c r="F2" s="21">
        <f>IF(E2&gt;$C2,$C2,IF(E2&lt;$D2,$D2,E2))</f>
        <v>5347719.0747578675</v>
      </c>
      <c r="G2" s="21">
        <f>VLOOKUP(B2,'02-CAPACITA'!A$2:E$38,4,0)+VLOOKUP(B2,'01-FATTURATO'!A$2:F$39,5,0)+VLOOKUP(B2,'03-CAPILLARIZZAZIONE'!A$2:D$38,3,0)</f>
        <v>5303567.5172721799</v>
      </c>
      <c r="H2" s="21">
        <f>IF(G2&gt;$C2,$C2,IF(G2&lt;$D2,$D2,G2))</f>
        <v>5303567.5172721799</v>
      </c>
      <c r="I2" s="21">
        <f>VLOOKUP(B2,'02-CAPACITA'!A$2:E$38,4,0)+VLOOKUP(B2,'01-FATTURATO'!A$2:F$39,6,0)+VLOOKUP(B2,'03-CAPILLARIZZAZIONE'!A$2:D$38,4,0)</f>
        <v>5259415.9597864933</v>
      </c>
      <c r="J2" s="21">
        <f>IF(I2&gt;$C2,$C2,IF(I2&lt;$D2,$D2,I2))</f>
        <v>5259415.9597864933</v>
      </c>
    </row>
    <row r="3" spans="1:11" ht="15" customHeight="1" x14ac:dyDescent="0.3">
      <c r="A3" s="5" t="e">
        <f>CONCATENATE(#REF!,#REF!)</f>
        <v>#REF!</v>
      </c>
      <c r="B3" s="20" t="s">
        <v>28</v>
      </c>
      <c r="C3" s="21">
        <f>VLOOKUP(B3,'02-CAPACITA'!A$2:B$38,2,0)</f>
        <v>2623912</v>
      </c>
      <c r="D3" s="21">
        <f>VLOOKUP(B3,'01-FATTURATO'!A$2:B$38,2,0)</f>
        <v>1543630.9972289</v>
      </c>
      <c r="E3" s="21">
        <f>VLOOKUP(B3,'02-CAPACITA'!A$2:E$38,4,0)+VLOOKUP(B3,'01-FATTURATO'!A$2:F$39,4,0)+VLOOKUP(B3,'03-CAPILLARIZZAZIONE'!A$2:D$38,2,0)</f>
        <v>1947147.4322421332</v>
      </c>
      <c r="F3" s="21">
        <f>IF(E3&gt;$C3,$C3,IF(E3&lt;$D3,$D3,E3))</f>
        <v>1947147.4322421332</v>
      </c>
      <c r="G3" s="21">
        <f>VLOOKUP(B3,'02-CAPACITA'!A$2:E$38,4,0)+VLOOKUP(B3,'01-FATTURATO'!A$2:F$39,5,0)+VLOOKUP(B3,'03-CAPILLARIZZAZIONE'!A$2:D$38,3,0)</f>
        <v>1991298.9897278203</v>
      </c>
      <c r="H3" s="21">
        <f>IF(G3&gt;$C3,$C3,IF(G3&lt;$D3,$D3,G3))</f>
        <v>1991298.9897278203</v>
      </c>
      <c r="I3" s="21">
        <f>VLOOKUP(B3,'02-CAPACITA'!A$2:E$38,4,0)+VLOOKUP(B3,'01-FATTURATO'!A$2:F$39,6,0)+VLOOKUP(B3,'03-CAPILLARIZZAZIONE'!A$2:D$38,4,0)</f>
        <v>2035450.5472135078</v>
      </c>
      <c r="J3" s="21">
        <f>IF(I3&gt;$C3,$C3,IF(I3&lt;$D3,$D3,I3))</f>
        <v>2035450.5472135078</v>
      </c>
    </row>
    <row r="4" spans="1:11" ht="15" customHeight="1" x14ac:dyDescent="0.3">
      <c r="B4" s="20"/>
      <c r="C4" s="21"/>
      <c r="D4" s="21"/>
      <c r="E4" s="21"/>
      <c r="F4" s="21"/>
      <c r="G4" s="21"/>
      <c r="H4" s="21"/>
      <c r="I4" s="21"/>
      <c r="J4" s="21"/>
    </row>
    <row r="5" spans="1:11" ht="15" customHeight="1" x14ac:dyDescent="0.3">
      <c r="A5" s="5" t="e">
        <f>CONCATENATE(#REF!,#REF!)</f>
        <v>#REF!</v>
      </c>
      <c r="B5" s="20" t="s">
        <v>29</v>
      </c>
      <c r="C5" s="21">
        <f>VLOOKUP(B5,'02-CAPACITA'!A$2:B$38,2,0)</f>
        <v>42369514.770000003</v>
      </c>
      <c r="D5" s="21">
        <f>VLOOKUP(B5,'01-FATTURATO'!A$2:B$38,2,0)</f>
        <v>20673079.978</v>
      </c>
      <c r="E5" s="21">
        <f>VLOOKUP(B5,'02-CAPACITA'!A$2:E$38,4,0)+VLOOKUP(B5,'01-FATTURATO'!A$2:F$39,4,0)+VLOOKUP(B5,'03-CAPILLARIZZAZIONE'!A$2:D$38,2,0)</f>
        <v>23629699.535511028</v>
      </c>
      <c r="F5" s="31">
        <f>IF(E5&gt;$C5,$C5,IF(E5&lt;$D5,$D5,E5))-312818.738130025</f>
        <v>23316880.797381002</v>
      </c>
      <c r="G5" s="31">
        <f>VLOOKUP(B5,'02-CAPACITA'!A$2:E$38,4,0)+VLOOKUP(B5,'01-FATTURATO'!A$2:F$39,5,0)+VLOOKUP(B5,'03-CAPILLARIZZAZIONE'!A$2:D$38,3,0)</f>
        <v>23764298.267383069</v>
      </c>
      <c r="H5" s="31">
        <f>IF(G5&gt;$C5,$C5,IF(G5&lt;$D5,$D5,G5))-943755.555868425</f>
        <v>22820542.711514644</v>
      </c>
      <c r="I5" s="31">
        <f>VLOOKUP(B5,'02-CAPACITA'!A$2:E$38,4,0)+VLOOKUP(B5,'01-FATTURATO'!A$2:F$39,6,0)+VLOOKUP(B5,'03-CAPILLARIZZAZIONE'!A$2:D$38,4,0)</f>
        <v>23898896.99925511</v>
      </c>
      <c r="J5" s="31">
        <f>IF(I5&gt;$C5,$C5,IF(I5&lt;$D5,$D5,I5))-949054.897346773</f>
        <v>22949842.101908337</v>
      </c>
      <c r="K5" s="6" t="s">
        <v>165</v>
      </c>
    </row>
    <row r="6" spans="1:11" ht="15" customHeight="1" x14ac:dyDescent="0.3">
      <c r="A6" s="5" t="e">
        <f>CONCATENATE(#REF!,#REF!)</f>
        <v>#REF!</v>
      </c>
      <c r="B6" s="20" t="s">
        <v>30</v>
      </c>
      <c r="C6" s="21">
        <f>VLOOKUP(B6,'02-CAPACITA'!A$2:B$38,2,0)</f>
        <v>1710660</v>
      </c>
      <c r="D6" s="21">
        <f>VLOOKUP(B6,'01-FATTURATO'!A$2:B$38,2,0)</f>
        <v>1354595.2651160101</v>
      </c>
      <c r="E6" s="21">
        <f>VLOOKUP(B6,'02-CAPACITA'!A$2:E$38,4,0)+VLOOKUP(B6,'01-FATTURATO'!A$2:F$39,4,0)+VLOOKUP(B6,'03-CAPILLARIZZAZIONE'!A$2:D$38,2,0)</f>
        <v>1368816.2653848222</v>
      </c>
      <c r="F6" s="31">
        <f t="shared" ref="F6:F13" si="0">IF(E6&gt;$C6,$C6,IF(E6&lt;$D6,$D6,E6))</f>
        <v>1368816.2653848222</v>
      </c>
      <c r="G6" s="31">
        <f>VLOOKUP(B6,'02-CAPACITA'!A$2:E$38,4,0)+VLOOKUP(B6,'01-FATTURATO'!A$2:F$39,5,0)+VLOOKUP(B6,'03-CAPILLARIZZAZIONE'!A$2:D$38,3,0)</f>
        <v>1350843.4823483441</v>
      </c>
      <c r="H6" s="31">
        <f t="shared" ref="H6:H13" si="1">IF(G6&gt;$C6,$C6,IF(G6&lt;$D6,$D6,G6))</f>
        <v>1354595.2651160101</v>
      </c>
      <c r="I6" s="31">
        <f>VLOOKUP(B6,'02-CAPACITA'!A$2:E$38,4,0)+VLOOKUP(B6,'01-FATTURATO'!A$2:F$39,6,0)+VLOOKUP(B6,'03-CAPILLARIZZAZIONE'!A$2:D$38,4,0)</f>
        <v>1332870.6993118657</v>
      </c>
      <c r="J6" s="31">
        <f t="shared" ref="J6:J13" si="2">IF(I6&gt;$C6,$C6,IF(I6&lt;$D6,$D6,I6))</f>
        <v>1354595.2651160101</v>
      </c>
    </row>
    <row r="7" spans="1:11" ht="15" customHeight="1" x14ac:dyDescent="0.3">
      <c r="A7" s="5" t="e">
        <f>CONCATENATE(#REF!,#REF!)</f>
        <v>#REF!</v>
      </c>
      <c r="B7" s="20" t="s">
        <v>31</v>
      </c>
      <c r="C7" s="21">
        <f>VLOOKUP(B7,'02-CAPACITA'!A$2:B$38,2,0)</f>
        <v>805688</v>
      </c>
      <c r="D7" s="21">
        <f>VLOOKUP(B7,'01-FATTURATO'!A$2:B$38,2,0)</f>
        <v>567965.81099999999</v>
      </c>
      <c r="E7" s="21">
        <f>VLOOKUP(B7,'02-CAPACITA'!A$2:E$38,4,0)+VLOOKUP(B7,'01-FATTURATO'!A$2:F$39,4,0)+VLOOKUP(B7,'03-CAPILLARIZZAZIONE'!A$2:D$38,2,0)</f>
        <v>598869.62878879788</v>
      </c>
      <c r="F7" s="31">
        <f t="shared" si="0"/>
        <v>598869.62878879788</v>
      </c>
      <c r="G7" s="31">
        <f>VLOOKUP(B7,'02-CAPACITA'!A$2:E$38,4,0)+VLOOKUP(B7,'01-FATTURATO'!A$2:F$39,5,0)+VLOOKUP(B7,'03-CAPILLARIZZAZIONE'!A$2:D$38,3,0)</f>
        <v>598579.39186331537</v>
      </c>
      <c r="H7" s="31">
        <f t="shared" si="1"/>
        <v>598579.39186331537</v>
      </c>
      <c r="I7" s="31">
        <f>VLOOKUP(B7,'02-CAPACITA'!A$2:E$38,4,0)+VLOOKUP(B7,'01-FATTURATO'!A$2:F$39,6,0)+VLOOKUP(B7,'03-CAPILLARIZZAZIONE'!A$2:D$38,4,0)</f>
        <v>598289.15493783273</v>
      </c>
      <c r="J7" s="31">
        <f t="shared" si="2"/>
        <v>598289.15493783273</v>
      </c>
    </row>
    <row r="8" spans="1:11" ht="15" customHeight="1" x14ac:dyDescent="0.3">
      <c r="A8" s="5" t="e">
        <f>CONCATENATE(#REF!,#REF!)</f>
        <v>#REF!</v>
      </c>
      <c r="B8" s="20" t="s">
        <v>32</v>
      </c>
      <c r="C8" s="21">
        <f>VLOOKUP(B8,'02-CAPACITA'!A$2:B$38,2,0)</f>
        <v>271531</v>
      </c>
      <c r="D8" s="21">
        <f>VLOOKUP(B8,'01-FATTURATO'!A$2:B$38,2,0)</f>
        <v>175631.87818379299</v>
      </c>
      <c r="E8" s="21">
        <f>VLOOKUP(B8,'02-CAPACITA'!A$2:E$38,4,0)+VLOOKUP(B8,'01-FATTURATO'!A$2:F$39,4,0)+VLOOKUP(B8,'03-CAPILLARIZZAZIONE'!A$2:D$38,2,0)</f>
        <v>211781.00350827191</v>
      </c>
      <c r="F8" s="31">
        <f t="shared" si="0"/>
        <v>211781.00350827191</v>
      </c>
      <c r="G8" s="31">
        <f>VLOOKUP(B8,'02-CAPACITA'!A$2:E$38,4,0)+VLOOKUP(B8,'01-FATTURATO'!A$2:F$39,5,0)+VLOOKUP(B8,'03-CAPILLARIZZAZIONE'!A$2:D$38,3,0)</f>
        <v>223664.75360005462</v>
      </c>
      <c r="H8" s="31">
        <f t="shared" si="1"/>
        <v>223664.75360005462</v>
      </c>
      <c r="I8" s="31">
        <f>VLOOKUP(B8,'02-CAPACITA'!A$2:E$38,4,0)+VLOOKUP(B8,'01-FATTURATO'!A$2:F$39,6,0)+VLOOKUP(B8,'03-CAPILLARIZZAZIONE'!A$2:D$38,4,0)</f>
        <v>235548.50369183731</v>
      </c>
      <c r="J8" s="31">
        <f t="shared" si="2"/>
        <v>235548.50369183731</v>
      </c>
    </row>
    <row r="9" spans="1:11" ht="15" customHeight="1" x14ac:dyDescent="0.3">
      <c r="B9" s="20" t="s">
        <v>33</v>
      </c>
      <c r="C9" s="21">
        <f>VLOOKUP(B9,'02-CAPACITA'!A$2:B$38,2,0)</f>
        <v>2770161</v>
      </c>
      <c r="D9" s="21">
        <f>VLOOKUP(B9,'01-FATTURATO'!A$2:B$38,2,0)</f>
        <v>1009005.063</v>
      </c>
      <c r="E9" s="21">
        <f>VLOOKUP(B9,'02-CAPACITA'!A$2:E$38,4,0)+VLOOKUP(B9,'01-FATTURATO'!A$2:F$39,4,0)+VLOOKUP(B9,'03-CAPILLARIZZAZIONE'!A$2:D$38,2,0)</f>
        <v>1205450.104729841</v>
      </c>
      <c r="F9" s="31">
        <f t="shared" si="0"/>
        <v>1205450.104729841</v>
      </c>
      <c r="G9" s="31">
        <f>VLOOKUP(B9,'02-CAPACITA'!A$2:E$38,4,0)+VLOOKUP(B9,'01-FATTURATO'!A$2:F$39,5,0)+VLOOKUP(B9,'03-CAPILLARIZZAZIONE'!A$2:D$38,3,0)</f>
        <v>1196597.7278818339</v>
      </c>
      <c r="H9" s="31">
        <f t="shared" si="1"/>
        <v>1196597.7278818339</v>
      </c>
      <c r="I9" s="31">
        <f>VLOOKUP(B9,'02-CAPACITA'!A$2:E$38,4,0)+VLOOKUP(B9,'01-FATTURATO'!A$2:F$39,6,0)+VLOOKUP(B9,'03-CAPILLARIZZAZIONE'!A$2:D$38,4,0)</f>
        <v>1187745.3510338266</v>
      </c>
      <c r="J9" s="31">
        <f t="shared" si="2"/>
        <v>1187745.3510338266</v>
      </c>
    </row>
    <row r="10" spans="1:11" ht="15" customHeight="1" x14ac:dyDescent="0.3">
      <c r="B10" s="20" t="s">
        <v>34</v>
      </c>
      <c r="C10" s="21">
        <f>VLOOKUP(B10,'02-CAPACITA'!A$2:B$38,2,0)</f>
        <v>1964840.44</v>
      </c>
      <c r="D10" s="21">
        <f>VLOOKUP(B10,'01-FATTURATO'!A$2:B$38,2,0)</f>
        <v>1365480.4450000001</v>
      </c>
      <c r="E10" s="21">
        <f>VLOOKUP(B10,'02-CAPACITA'!A$2:E$38,4,0)+VLOOKUP(B10,'01-FATTURATO'!A$2:F$39,4,0)+VLOOKUP(B10,'03-CAPILLARIZZAZIONE'!A$2:D$38,2,0)</f>
        <v>1405098.1433707946</v>
      </c>
      <c r="F10" s="31">
        <f t="shared" si="0"/>
        <v>1405098.1433707946</v>
      </c>
      <c r="G10" s="31">
        <f>VLOOKUP(B10,'02-CAPACITA'!A$2:E$38,4,0)+VLOOKUP(B10,'01-FATTURATO'!A$2:F$39,5,0)+VLOOKUP(B10,'03-CAPILLARIZZAZIONE'!A$2:D$38,3,0)</f>
        <v>1385415.487292503</v>
      </c>
      <c r="H10" s="31">
        <f t="shared" si="1"/>
        <v>1385415.487292503</v>
      </c>
      <c r="I10" s="31">
        <f>VLOOKUP(B10,'02-CAPACITA'!A$2:E$38,4,0)+VLOOKUP(B10,'01-FATTURATO'!A$2:F$39,6,0)+VLOOKUP(B10,'03-CAPILLARIZZAZIONE'!A$2:D$38,4,0)</f>
        <v>1365732.8312142116</v>
      </c>
      <c r="J10" s="31">
        <f t="shared" si="2"/>
        <v>1365732.8312142116</v>
      </c>
    </row>
    <row r="11" spans="1:11" ht="15" customHeight="1" x14ac:dyDescent="0.3">
      <c r="B11" s="20" t="s">
        <v>35</v>
      </c>
      <c r="C11" s="21">
        <f>VLOOKUP(B11,'02-CAPACITA'!A$2:B$38,2,0)</f>
        <v>1194905</v>
      </c>
      <c r="D11" s="21">
        <f>VLOOKUP(B11,'01-FATTURATO'!A$2:B$38,2,0)</f>
        <v>1013425.58</v>
      </c>
      <c r="E11" s="21">
        <f>VLOOKUP(B11,'02-CAPACITA'!A$2:E$38,4,0)+VLOOKUP(B11,'01-FATTURATO'!A$2:F$39,4,0)+VLOOKUP(B11,'03-CAPILLARIZZAZIONE'!A$2:D$38,2,0)</f>
        <v>1062156.1123216008</v>
      </c>
      <c r="F11" s="31">
        <f t="shared" si="0"/>
        <v>1062156.1123216008</v>
      </c>
      <c r="G11" s="31">
        <f>VLOOKUP(B11,'02-CAPACITA'!A$2:E$38,4,0)+VLOOKUP(B11,'01-FATTURATO'!A$2:F$39,5,0)+VLOOKUP(B11,'03-CAPILLARIZZAZIONE'!A$2:D$38,3,0)</f>
        <v>1072772.5135820201</v>
      </c>
      <c r="H11" s="31">
        <f t="shared" si="1"/>
        <v>1072772.5135820201</v>
      </c>
      <c r="I11" s="31">
        <f>VLOOKUP(B11,'02-CAPACITA'!A$2:E$38,4,0)+VLOOKUP(B11,'01-FATTURATO'!A$2:F$39,6,0)+VLOOKUP(B11,'03-CAPILLARIZZAZIONE'!A$2:D$38,4,0)</f>
        <v>1083388.9148424396</v>
      </c>
      <c r="J11" s="31">
        <f t="shared" si="2"/>
        <v>1083388.9148424396</v>
      </c>
    </row>
    <row r="12" spans="1:11" ht="15" customHeight="1" x14ac:dyDescent="0.3">
      <c r="B12" s="20" t="s">
        <v>36</v>
      </c>
      <c r="C12" s="21">
        <f>VLOOKUP(B12,'02-CAPACITA'!A$2:B$38,2,0)</f>
        <v>1468851.15</v>
      </c>
      <c r="D12" s="21">
        <f>VLOOKUP(B12,'01-FATTURATO'!A$2:B$38,2,0)</f>
        <v>960479.21</v>
      </c>
      <c r="E12" s="21">
        <f>VLOOKUP(B12,'02-CAPACITA'!A$2:E$38,4,0)+VLOOKUP(B12,'01-FATTURATO'!A$2:F$39,4,0)+VLOOKUP(B12,'03-CAPILLARIZZAZIONE'!A$2:D$38,2,0)</f>
        <v>1028339.0867468403</v>
      </c>
      <c r="F12" s="31">
        <f t="shared" si="0"/>
        <v>1028339.0867468403</v>
      </c>
      <c r="G12" s="31">
        <f>VLOOKUP(B12,'02-CAPACITA'!A$2:E$38,4,0)+VLOOKUP(B12,'01-FATTURATO'!A$2:F$39,5,0)+VLOOKUP(B12,'03-CAPILLARIZZAZIONE'!A$2:D$38,3,0)</f>
        <v>1029362.9558463262</v>
      </c>
      <c r="H12" s="31">
        <f t="shared" si="1"/>
        <v>1029362.9558463262</v>
      </c>
      <c r="I12" s="31">
        <f>VLOOKUP(B12,'02-CAPACITA'!A$2:E$38,4,0)+VLOOKUP(B12,'01-FATTURATO'!A$2:F$39,6,0)+VLOOKUP(B12,'03-CAPILLARIZZAZIONE'!A$2:D$38,4,0)</f>
        <v>1030386.8249458121</v>
      </c>
      <c r="J12" s="31">
        <f t="shared" si="2"/>
        <v>1030386.8249458121</v>
      </c>
    </row>
    <row r="13" spans="1:11" ht="15" customHeight="1" x14ac:dyDescent="0.3">
      <c r="B13" s="20" t="s">
        <v>37</v>
      </c>
      <c r="C13" s="21">
        <f>VLOOKUP(B13,'02-CAPACITA'!A$2:B$38,2,0)</f>
        <v>1023418.4</v>
      </c>
      <c r="D13" s="21">
        <f>VLOOKUP(B13,'01-FATTURATO'!A$2:B$38,2,0)</f>
        <v>400729.36499999999</v>
      </c>
      <c r="E13" s="21">
        <f>VLOOKUP(B13,'02-CAPACITA'!A$2:E$38,4,0)+VLOOKUP(B13,'01-FATTURATO'!A$2:F$39,4,0)+VLOOKUP(B13,'03-CAPILLARIZZAZIONE'!A$2:D$38,2,0)</f>
        <v>478138.43797053472</v>
      </c>
      <c r="F13" s="31">
        <f t="shared" si="0"/>
        <v>478138.43797053472</v>
      </c>
      <c r="G13" s="31">
        <f>VLOOKUP(B13,'02-CAPACITA'!A$2:E$38,4,0)+VLOOKUP(B13,'01-FATTURATO'!A$2:F$39,5,0)+VLOOKUP(B13,'03-CAPILLARIZZAZIONE'!A$2:D$38,3,0)</f>
        <v>478853.3791092661</v>
      </c>
      <c r="H13" s="31">
        <f t="shared" si="1"/>
        <v>478853.3791092661</v>
      </c>
      <c r="I13" s="31">
        <f>VLOOKUP(B13,'02-CAPACITA'!A$2:E$38,4,0)+VLOOKUP(B13,'01-FATTURATO'!A$2:F$39,6,0)+VLOOKUP(B13,'03-CAPILLARIZZAZIONE'!A$2:D$38,4,0)</f>
        <v>479568.32024799747</v>
      </c>
      <c r="J13" s="31">
        <f t="shared" si="2"/>
        <v>479568.32024799747</v>
      </c>
    </row>
    <row r="14" spans="1:11" ht="15" customHeight="1" x14ac:dyDescent="0.3">
      <c r="B14" s="20" t="s">
        <v>38</v>
      </c>
      <c r="C14" s="21">
        <f>VLOOKUP(B14,'02-CAPACITA'!A$2:B$38,2,0)</f>
        <v>555470.9</v>
      </c>
      <c r="D14" s="21">
        <f>VLOOKUP(B14,'01-FATTURATO'!A$2:B$38,2,0)</f>
        <v>234883.288818823</v>
      </c>
      <c r="E14" s="21">
        <f>VLOOKUP(B14,'02-CAPACITA'!A$2:E$38,4,0)+VLOOKUP(B14,'01-FATTURATO'!A$2:F$39,4,0)+VLOOKUP(B14,'03-CAPILLARIZZAZIONE'!A$2:D$38,2,0)</f>
        <v>293140.56644990214</v>
      </c>
      <c r="F14" s="31">
        <f>IF(E14&gt;$C14,$C14,IF(E14&lt;$D14,$D14,E14))+312818.738130025</f>
        <v>605959.30457992712</v>
      </c>
      <c r="G14" s="31">
        <f>VLOOKUP(B14,'02-CAPACITA'!A$2:E$38,4,0)+VLOOKUP(B14,'01-FATTURATO'!A$2:F$39,5,0)+VLOOKUP(B14,'03-CAPILLARIZZAZIONE'!A$2:D$38,3,0)</f>
        <v>302625.19680622139</v>
      </c>
      <c r="H14" s="31">
        <f>IF(G14&gt;$C14,$C14,IF(G14&lt;$D14,$D14,G14))+943755.555868425</f>
        <v>1246380.7526746464</v>
      </c>
      <c r="I14" s="31">
        <f>VLOOKUP(B14,'02-CAPACITA'!A$2:E$38,4,0)+VLOOKUP(B14,'01-FATTURATO'!A$2:F$39,6,0)+VLOOKUP(B14,'03-CAPILLARIZZAZIONE'!A$2:D$38,4,0)</f>
        <v>312109.82716254069</v>
      </c>
      <c r="J14" s="31">
        <f>IF(I14&gt;$C14,$C14,IF(I14&lt;$D14,$D14,I14))+949054.897346773</f>
        <v>1261164.7245093137</v>
      </c>
      <c r="K14" s="6" t="s">
        <v>166</v>
      </c>
    </row>
    <row r="15" spans="1:11" ht="15" customHeight="1" x14ac:dyDescent="0.3">
      <c r="B15" s="20" t="s">
        <v>39</v>
      </c>
      <c r="C15" s="21">
        <f>VLOOKUP(B15,'02-CAPACITA'!A$2:B$38,2,0)</f>
        <v>860909.63</v>
      </c>
      <c r="D15" s="21">
        <f>VLOOKUP(B15,'01-FATTURATO'!A$2:B$38,2,0)</f>
        <v>594694.95799999998</v>
      </c>
      <c r="E15" s="21">
        <f>VLOOKUP(B15,'02-CAPACITA'!A$2:E$38,4,0)+VLOOKUP(B15,'01-FATTURATO'!A$2:F$39,4,0)+VLOOKUP(B15,'03-CAPILLARIZZAZIONE'!A$2:D$38,2,0)</f>
        <v>630220.79752128688</v>
      </c>
      <c r="F15" s="21">
        <f t="shared" ref="F15:F31" si="3">IF(E15&gt;$C15,$C15,IF(E15&lt;$D15,$D15,E15))</f>
        <v>630220.79752128688</v>
      </c>
      <c r="G15" s="21">
        <f>VLOOKUP(B15,'02-CAPACITA'!A$2:E$38,4,0)+VLOOKUP(B15,'01-FATTURATO'!A$2:F$39,5,0)+VLOOKUP(B15,'03-CAPILLARIZZAZIONE'!A$2:D$38,3,0)</f>
        <v>630478.21748401062</v>
      </c>
      <c r="H15" s="21">
        <f t="shared" ref="H15:H31" si="4">IF(G15&gt;$C15,$C15,IF(G15&lt;$D15,$D15,G15))</f>
        <v>630478.21748401062</v>
      </c>
      <c r="I15" s="21">
        <f>VLOOKUP(B15,'02-CAPACITA'!A$2:E$38,4,0)+VLOOKUP(B15,'01-FATTURATO'!A$2:F$39,6,0)+VLOOKUP(B15,'03-CAPILLARIZZAZIONE'!A$2:D$38,4,0)</f>
        <v>630735.63744673424</v>
      </c>
      <c r="J15" s="21">
        <f t="shared" ref="J15:J31" si="5">IF(I15&gt;$C15,$C15,IF(I15&lt;$D15,$D15,I15))</f>
        <v>630735.63744673424</v>
      </c>
    </row>
    <row r="16" spans="1:11" ht="15" customHeight="1" x14ac:dyDescent="0.3">
      <c r="B16" s="20" t="s">
        <v>40</v>
      </c>
      <c r="C16" s="21">
        <f>VLOOKUP(B16,'02-CAPACITA'!A$2:B$38,2,0)</f>
        <v>695251.44</v>
      </c>
      <c r="D16" s="21">
        <f>VLOOKUP(B16,'01-FATTURATO'!A$2:B$38,2,0)</f>
        <v>272410.99</v>
      </c>
      <c r="E16" s="21">
        <f>VLOOKUP(B16,'02-CAPACITA'!A$2:E$38,4,0)+VLOOKUP(B16,'01-FATTURATO'!A$2:F$39,4,0)+VLOOKUP(B16,'03-CAPILLARIZZAZIONE'!A$2:D$38,2,0)</f>
        <v>340893.78575526271</v>
      </c>
      <c r="F16" s="21">
        <f t="shared" si="3"/>
        <v>340893.78575526271</v>
      </c>
      <c r="G16" s="21">
        <f>VLOOKUP(B16,'02-CAPACITA'!A$2:E$38,4,0)+VLOOKUP(B16,'01-FATTURATO'!A$2:F$39,5,0)+VLOOKUP(B16,'03-CAPILLARIZZAZIONE'!A$2:D$38,3,0)</f>
        <v>349337.26153621729</v>
      </c>
      <c r="H16" s="21">
        <f t="shared" si="4"/>
        <v>349337.26153621729</v>
      </c>
      <c r="I16" s="21">
        <f>VLOOKUP(B16,'02-CAPACITA'!A$2:E$38,4,0)+VLOOKUP(B16,'01-FATTURATO'!A$2:F$39,6,0)+VLOOKUP(B16,'03-CAPILLARIZZAZIONE'!A$2:D$38,4,0)</f>
        <v>357780.73731717194</v>
      </c>
      <c r="J16" s="21">
        <f t="shared" si="5"/>
        <v>357780.73731717194</v>
      </c>
    </row>
    <row r="17" spans="2:10" ht="15" customHeight="1" x14ac:dyDescent="0.3">
      <c r="B17" s="20" t="s">
        <v>41</v>
      </c>
      <c r="C17" s="21">
        <f>VLOOKUP(B17,'02-CAPACITA'!A$2:B$38,2,0)</f>
        <v>1819070.24</v>
      </c>
      <c r="D17" s="21">
        <f>VLOOKUP(B17,'01-FATTURATO'!A$2:B$38,2,0)</f>
        <v>999017.19499999995</v>
      </c>
      <c r="E17" s="21">
        <f>VLOOKUP(B17,'02-CAPACITA'!A$2:E$38,4,0)+VLOOKUP(B17,'01-FATTURATO'!A$2:F$39,4,0)+VLOOKUP(B17,'03-CAPILLARIZZAZIONE'!A$2:D$38,2,0)</f>
        <v>1085676.8890818283</v>
      </c>
      <c r="F17" s="21">
        <f t="shared" si="3"/>
        <v>1085676.8890818283</v>
      </c>
      <c r="G17" s="21">
        <f>VLOOKUP(B17,'02-CAPACITA'!A$2:E$38,4,0)+VLOOKUP(B17,'01-FATTURATO'!A$2:F$39,5,0)+VLOOKUP(B17,'03-CAPILLARIZZAZIONE'!A$2:D$38,3,0)</f>
        <v>1077569.1316916933</v>
      </c>
      <c r="H17" s="21">
        <f t="shared" si="4"/>
        <v>1077569.1316916933</v>
      </c>
      <c r="I17" s="21">
        <f>VLOOKUP(B17,'02-CAPACITA'!A$2:E$38,4,0)+VLOOKUP(B17,'01-FATTURATO'!A$2:F$39,6,0)+VLOOKUP(B17,'03-CAPILLARIZZAZIONE'!A$2:D$38,4,0)</f>
        <v>1069461.3743015584</v>
      </c>
      <c r="J17" s="21">
        <f t="shared" si="5"/>
        <v>1069461.3743015584</v>
      </c>
    </row>
    <row r="18" spans="2:10" ht="15" customHeight="1" x14ac:dyDescent="0.3">
      <c r="B18" s="20" t="s">
        <v>42</v>
      </c>
      <c r="C18" s="21">
        <f>VLOOKUP(B18,'02-CAPACITA'!A$2:B$38,2,0)</f>
        <v>2360818.15</v>
      </c>
      <c r="D18" s="21">
        <f>VLOOKUP(B18,'01-FATTURATO'!A$2:B$38,2,0)</f>
        <v>1430698.8910000001</v>
      </c>
      <c r="E18" s="21">
        <f>VLOOKUP(B18,'02-CAPACITA'!A$2:E$38,4,0)+VLOOKUP(B18,'01-FATTURATO'!A$2:F$39,4,0)+VLOOKUP(B18,'03-CAPILLARIZZAZIONE'!A$2:D$38,2,0)</f>
        <v>1500707.6853685784</v>
      </c>
      <c r="F18" s="21">
        <f t="shared" si="3"/>
        <v>1500707.6853685784</v>
      </c>
      <c r="G18" s="21">
        <f>VLOOKUP(B18,'02-CAPACITA'!A$2:E$38,4,0)+VLOOKUP(B18,'01-FATTURATO'!A$2:F$39,5,0)+VLOOKUP(B18,'03-CAPILLARIZZAZIONE'!A$2:D$38,3,0)</f>
        <v>1476482.1029439431</v>
      </c>
      <c r="H18" s="21">
        <f t="shared" si="4"/>
        <v>1476482.1029439431</v>
      </c>
      <c r="I18" s="21">
        <f>VLOOKUP(B18,'02-CAPACITA'!A$2:E$38,4,0)+VLOOKUP(B18,'01-FATTURATO'!A$2:F$39,6,0)+VLOOKUP(B18,'03-CAPILLARIZZAZIONE'!A$2:D$38,4,0)</f>
        <v>1452256.5205193078</v>
      </c>
      <c r="J18" s="21">
        <f t="shared" si="5"/>
        <v>1452256.5205193078</v>
      </c>
    </row>
    <row r="19" spans="2:10" ht="15" customHeight="1" x14ac:dyDescent="0.3">
      <c r="B19" s="20" t="s">
        <v>43</v>
      </c>
      <c r="C19" s="21">
        <f>VLOOKUP(B19,'02-CAPACITA'!A$2:B$38,2,0)</f>
        <v>1995942.98</v>
      </c>
      <c r="D19" s="21">
        <f>VLOOKUP(B19,'01-FATTURATO'!A$2:B$38,2,0)</f>
        <v>256430.715</v>
      </c>
      <c r="E19" s="21">
        <f>VLOOKUP(B19,'02-CAPACITA'!A$2:E$38,4,0)+VLOOKUP(B19,'01-FATTURATO'!A$2:F$39,4,0)+VLOOKUP(B19,'03-CAPILLARIZZAZIONE'!A$2:D$38,2,0)</f>
        <v>479881.33578794531</v>
      </c>
      <c r="F19" s="21">
        <f t="shared" si="3"/>
        <v>479881.33578794531</v>
      </c>
      <c r="G19" s="21">
        <f>VLOOKUP(B19,'02-CAPACITA'!A$2:E$38,4,0)+VLOOKUP(B19,'01-FATTURATO'!A$2:F$39,5,0)+VLOOKUP(B19,'03-CAPILLARIZZAZIONE'!A$2:D$38,3,0)</f>
        <v>488057.51021631912</v>
      </c>
      <c r="H19" s="21">
        <f t="shared" si="4"/>
        <v>488057.51021631912</v>
      </c>
      <c r="I19" s="21">
        <f>VLOOKUP(B19,'02-CAPACITA'!A$2:E$38,4,0)+VLOOKUP(B19,'01-FATTURATO'!A$2:F$39,6,0)+VLOOKUP(B19,'03-CAPILLARIZZAZIONE'!A$2:D$38,4,0)</f>
        <v>496233.68464469298</v>
      </c>
      <c r="J19" s="21">
        <f t="shared" si="5"/>
        <v>496233.68464469298</v>
      </c>
    </row>
    <row r="20" spans="2:10" ht="15" customHeight="1" x14ac:dyDescent="0.3">
      <c r="B20" s="20" t="s">
        <v>44</v>
      </c>
      <c r="C20" s="21">
        <f>VLOOKUP(B20,'02-CAPACITA'!A$2:B$38,2,0)</f>
        <v>1092050</v>
      </c>
      <c r="D20" s="21">
        <f>VLOOKUP(B20,'01-FATTURATO'!A$2:B$38,2,0)</f>
        <v>657114.46799999999</v>
      </c>
      <c r="E20" s="21">
        <f>VLOOKUP(B20,'02-CAPACITA'!A$2:E$38,4,0)+VLOOKUP(B20,'01-FATTURATO'!A$2:F$39,4,0)+VLOOKUP(B20,'03-CAPILLARIZZAZIONE'!A$2:D$38,2,0)</f>
        <v>715192.52471559704</v>
      </c>
      <c r="F20" s="21">
        <f t="shared" si="3"/>
        <v>715192.52471559704</v>
      </c>
      <c r="G20" s="21">
        <f>VLOOKUP(B20,'02-CAPACITA'!A$2:E$38,4,0)+VLOOKUP(B20,'01-FATTURATO'!A$2:F$39,5,0)+VLOOKUP(B20,'03-CAPILLARIZZAZIONE'!A$2:D$38,3,0)</f>
        <v>716570.38934177288</v>
      </c>
      <c r="H20" s="21">
        <f t="shared" si="4"/>
        <v>716570.38934177288</v>
      </c>
      <c r="I20" s="21">
        <f>VLOOKUP(B20,'02-CAPACITA'!A$2:E$38,4,0)+VLOOKUP(B20,'01-FATTURATO'!A$2:F$39,6,0)+VLOOKUP(B20,'03-CAPILLARIZZAZIONE'!A$2:D$38,4,0)</f>
        <v>717948.25396794861</v>
      </c>
      <c r="J20" s="21">
        <f t="shared" si="5"/>
        <v>717948.25396794861</v>
      </c>
    </row>
    <row r="21" spans="2:10" ht="15" customHeight="1" x14ac:dyDescent="0.3">
      <c r="B21" s="20" t="s">
        <v>45</v>
      </c>
      <c r="C21" s="21">
        <f>VLOOKUP(B21,'02-CAPACITA'!A$2:B$38,2,0)</f>
        <v>4956828.5999999996</v>
      </c>
      <c r="D21" s="21">
        <f>VLOOKUP(B21,'01-FATTURATO'!A$2:B$38,2,0)</f>
        <v>2381447.27</v>
      </c>
      <c r="E21" s="21">
        <f>VLOOKUP(B21,'02-CAPACITA'!A$2:E$38,4,0)+VLOOKUP(B21,'01-FATTURATO'!A$2:F$39,4,0)+VLOOKUP(B21,'03-CAPILLARIZZAZIONE'!A$2:D$38,2,0)</f>
        <v>2679689.3590475302</v>
      </c>
      <c r="F21" s="21">
        <f t="shared" si="3"/>
        <v>2679689.3590475302</v>
      </c>
      <c r="G21" s="21">
        <f>VLOOKUP(B21,'02-CAPACITA'!A$2:E$38,4,0)+VLOOKUP(B21,'01-FATTURATO'!A$2:F$39,5,0)+VLOOKUP(B21,'03-CAPILLARIZZAZIONE'!A$2:D$38,3,0)</f>
        <v>2669527.343458334</v>
      </c>
      <c r="H21" s="21">
        <f t="shared" si="4"/>
        <v>2669527.343458334</v>
      </c>
      <c r="I21" s="21">
        <f>VLOOKUP(B21,'02-CAPACITA'!A$2:E$38,4,0)+VLOOKUP(B21,'01-FATTURATO'!A$2:F$39,6,0)+VLOOKUP(B21,'03-CAPILLARIZZAZIONE'!A$2:D$38,4,0)</f>
        <v>2659365.3278691373</v>
      </c>
      <c r="J21" s="21">
        <f t="shared" si="5"/>
        <v>2659365.3278691373</v>
      </c>
    </row>
    <row r="22" spans="2:10" ht="15" customHeight="1" x14ac:dyDescent="0.3">
      <c r="B22" s="20" t="s">
        <v>46</v>
      </c>
      <c r="C22" s="21">
        <f>VLOOKUP(B22,'02-CAPACITA'!A$2:B$38,2,0)</f>
        <v>4109529</v>
      </c>
      <c r="D22" s="21">
        <f>VLOOKUP(B22,'01-FATTURATO'!A$2:B$38,2,0)</f>
        <v>1919023.8149999999</v>
      </c>
      <c r="E22" s="21">
        <f>VLOOKUP(B22,'02-CAPACITA'!A$2:E$38,4,0)+VLOOKUP(B22,'01-FATTURATO'!A$2:F$39,4,0)+VLOOKUP(B22,'03-CAPILLARIZZAZIONE'!A$2:D$38,2,0)</f>
        <v>2211171.1677193874</v>
      </c>
      <c r="F22" s="21">
        <f t="shared" si="3"/>
        <v>2211171.1677193874</v>
      </c>
      <c r="G22" s="21">
        <f>VLOOKUP(B22,'02-CAPACITA'!A$2:E$38,4,0)+VLOOKUP(B22,'01-FATTURATO'!A$2:F$39,5,0)+VLOOKUP(B22,'03-CAPILLARIZZAZIONE'!A$2:D$38,3,0)</f>
        <v>2222083.7901470033</v>
      </c>
      <c r="H22" s="21">
        <f t="shared" si="4"/>
        <v>2222083.7901470033</v>
      </c>
      <c r="I22" s="21">
        <f>VLOOKUP(B22,'02-CAPACITA'!A$2:E$38,4,0)+VLOOKUP(B22,'01-FATTURATO'!A$2:F$39,6,0)+VLOOKUP(B22,'03-CAPILLARIZZAZIONE'!A$2:D$38,4,0)</f>
        <v>2232996.4125746191</v>
      </c>
      <c r="J22" s="21">
        <f t="shared" si="5"/>
        <v>2232996.4125746191</v>
      </c>
    </row>
    <row r="23" spans="2:10" ht="15" customHeight="1" x14ac:dyDescent="0.3">
      <c r="B23" s="20" t="s">
        <v>47</v>
      </c>
      <c r="C23" s="21">
        <f>VLOOKUP(B23,'02-CAPACITA'!A$2:B$38,2,0)</f>
        <v>4808180.57</v>
      </c>
      <c r="D23" s="21">
        <f>VLOOKUP(B23,'01-FATTURATO'!A$2:B$38,2,0)</f>
        <v>3640679.4813063601</v>
      </c>
      <c r="E23" s="21">
        <f>VLOOKUP(B23,'02-CAPACITA'!A$2:E$38,4,0)+VLOOKUP(B23,'01-FATTURATO'!A$2:F$39,4,0)+VLOOKUP(B23,'03-CAPILLARIZZAZIONE'!A$2:D$38,2,0)</f>
        <v>3679521.2825093558</v>
      </c>
      <c r="F23" s="21">
        <f t="shared" si="3"/>
        <v>3679521.2825093558</v>
      </c>
      <c r="G23" s="21">
        <f>VLOOKUP(B23,'02-CAPACITA'!A$2:E$38,4,0)+VLOOKUP(B23,'01-FATTURATO'!A$2:F$39,5,0)+VLOOKUP(B23,'03-CAPILLARIZZAZIONE'!A$2:D$38,3,0)</f>
        <v>3619087.7606098535</v>
      </c>
      <c r="H23" s="21">
        <f t="shared" si="4"/>
        <v>3640679.4813063601</v>
      </c>
      <c r="I23" s="21">
        <f>VLOOKUP(B23,'02-CAPACITA'!A$2:E$38,4,0)+VLOOKUP(B23,'01-FATTURATO'!A$2:F$39,6,0)+VLOOKUP(B23,'03-CAPILLARIZZAZIONE'!A$2:D$38,4,0)</f>
        <v>3558654.2387103522</v>
      </c>
      <c r="J23" s="21">
        <f t="shared" si="5"/>
        <v>3640679.4813063601</v>
      </c>
    </row>
    <row r="24" spans="2:10" ht="15" customHeight="1" x14ac:dyDescent="0.3">
      <c r="B24" s="20" t="s">
        <v>48</v>
      </c>
      <c r="C24" s="21">
        <f>VLOOKUP(B24,'02-CAPACITA'!A$2:B$38,2,0)</f>
        <v>1267943.75</v>
      </c>
      <c r="D24" s="21">
        <f>VLOOKUP(B24,'01-FATTURATO'!A$2:B$38,2,0)</f>
        <v>1472796.2607501601</v>
      </c>
      <c r="E24" s="21">
        <f>VLOOKUP(B24,'02-CAPACITA'!A$2:E$38,4,0)+VLOOKUP(B24,'01-FATTURATO'!A$2:F$39,4,0)+VLOOKUP(B24,'03-CAPILLARIZZAZIONE'!A$2:D$38,2,0)</f>
        <v>1408232.0114893145</v>
      </c>
      <c r="F24" s="21">
        <f t="shared" si="3"/>
        <v>1267943.75</v>
      </c>
      <c r="G24" s="21">
        <f>VLOOKUP(B24,'02-CAPACITA'!A$2:E$38,4,0)+VLOOKUP(B24,'01-FATTURATO'!A$2:F$39,5,0)+VLOOKUP(B24,'03-CAPILLARIZZAZIONE'!A$2:D$38,3,0)</f>
        <v>1383656.9334843901</v>
      </c>
      <c r="H24" s="21">
        <f t="shared" si="4"/>
        <v>1267943.75</v>
      </c>
      <c r="I24" s="21">
        <f>VLOOKUP(B24,'02-CAPACITA'!A$2:E$38,4,0)+VLOOKUP(B24,'01-FATTURATO'!A$2:F$39,6,0)+VLOOKUP(B24,'03-CAPILLARIZZAZIONE'!A$2:D$38,4,0)</f>
        <v>1359081.8554794663</v>
      </c>
      <c r="J24" s="21">
        <f t="shared" si="5"/>
        <v>1267943.75</v>
      </c>
    </row>
    <row r="25" spans="2:10" ht="15" customHeight="1" x14ac:dyDescent="0.3">
      <c r="B25" s="20" t="s">
        <v>49</v>
      </c>
      <c r="C25" s="21">
        <f>VLOOKUP(B25,'02-CAPACITA'!A$2:B$38,2,0)</f>
        <v>2227743.5</v>
      </c>
      <c r="D25" s="21">
        <f>VLOOKUP(B25,'01-FATTURATO'!A$2:B$38,2,0)</f>
        <v>1655871.3629999999</v>
      </c>
      <c r="E25" s="21">
        <f>VLOOKUP(B25,'02-CAPACITA'!A$2:E$38,4,0)+VLOOKUP(B25,'01-FATTURATO'!A$2:F$39,4,0)+VLOOKUP(B25,'03-CAPILLARIZZAZIONE'!A$2:D$38,2,0)</f>
        <v>1666792.5093264093</v>
      </c>
      <c r="F25" s="21">
        <f t="shared" si="3"/>
        <v>1666792.5093264093</v>
      </c>
      <c r="G25" s="21">
        <f>VLOOKUP(B25,'02-CAPACITA'!A$2:E$38,4,0)+VLOOKUP(B25,'01-FATTURATO'!A$2:F$39,5,0)+VLOOKUP(B25,'03-CAPILLARIZZAZIONE'!A$2:D$38,3,0)</f>
        <v>1633518.7750086063</v>
      </c>
      <c r="H25" s="21">
        <f t="shared" si="4"/>
        <v>1655871.3629999999</v>
      </c>
      <c r="I25" s="21">
        <f>VLOOKUP(B25,'02-CAPACITA'!A$2:E$38,4,0)+VLOOKUP(B25,'01-FATTURATO'!A$2:F$39,6,0)+VLOOKUP(B25,'03-CAPILLARIZZAZIONE'!A$2:D$38,4,0)</f>
        <v>1600245.0406908034</v>
      </c>
      <c r="J25" s="21">
        <f t="shared" si="5"/>
        <v>1655871.3629999999</v>
      </c>
    </row>
    <row r="26" spans="2:10" ht="15" customHeight="1" x14ac:dyDescent="0.3">
      <c r="B26" s="20" t="s">
        <v>50</v>
      </c>
      <c r="C26" s="21">
        <f>VLOOKUP(B26,'02-CAPACITA'!A$2:B$38,2,0)</f>
        <v>1084313</v>
      </c>
      <c r="D26" s="21">
        <f>VLOOKUP(B26,'01-FATTURATO'!A$2:B$38,2,0)</f>
        <v>702398.647</v>
      </c>
      <c r="E26" s="21">
        <f>VLOOKUP(B26,'02-CAPACITA'!A$2:E$38,4,0)+VLOOKUP(B26,'01-FATTURATO'!A$2:F$39,4,0)+VLOOKUP(B26,'03-CAPILLARIZZAZIONE'!A$2:D$38,2,0)</f>
        <v>744753.70815746544</v>
      </c>
      <c r="F26" s="21">
        <f t="shared" si="3"/>
        <v>744753.70815746544</v>
      </c>
      <c r="G26" s="21">
        <f>VLOOKUP(B26,'02-CAPACITA'!A$2:E$38,4,0)+VLOOKUP(B26,'01-FATTURATO'!A$2:F$39,5,0)+VLOOKUP(B26,'03-CAPILLARIZZAZIONE'!A$2:D$38,3,0)</f>
        <v>741267.76640563435</v>
      </c>
      <c r="H26" s="21">
        <f t="shared" si="4"/>
        <v>741267.76640563435</v>
      </c>
      <c r="I26" s="21">
        <f>VLOOKUP(B26,'02-CAPACITA'!A$2:E$38,4,0)+VLOOKUP(B26,'01-FATTURATO'!A$2:F$39,6,0)+VLOOKUP(B26,'03-CAPILLARIZZAZIONE'!A$2:D$38,4,0)</f>
        <v>737781.82465380325</v>
      </c>
      <c r="J26" s="21">
        <f t="shared" si="5"/>
        <v>737781.82465380325</v>
      </c>
    </row>
    <row r="27" spans="2:10" ht="15" customHeight="1" x14ac:dyDescent="0.3">
      <c r="B27" s="20" t="s">
        <v>51</v>
      </c>
      <c r="C27" s="21">
        <f>VLOOKUP(B27,'02-CAPACITA'!A$2:B$38,2,0)</f>
        <v>680360</v>
      </c>
      <c r="D27" s="21">
        <f>VLOOKUP(B27,'01-FATTURATO'!A$2:B$38,2,0)</f>
        <v>639208.68000000005</v>
      </c>
      <c r="E27" s="21">
        <f>VLOOKUP(B27,'02-CAPACITA'!A$2:E$38,4,0)+VLOOKUP(B27,'01-FATTURATO'!A$2:F$39,4,0)+VLOOKUP(B27,'03-CAPILLARIZZAZIONE'!A$2:D$38,2,0)</f>
        <v>619841.69544028328</v>
      </c>
      <c r="F27" s="21">
        <f t="shared" si="3"/>
        <v>639208.68000000005</v>
      </c>
      <c r="G27" s="21">
        <f>VLOOKUP(B27,'02-CAPACITA'!A$2:E$38,4,0)+VLOOKUP(B27,'01-FATTURATO'!A$2:F$39,5,0)+VLOOKUP(B27,'03-CAPILLARIZZAZIONE'!A$2:D$38,3,0)</f>
        <v>605818.24723683589</v>
      </c>
      <c r="H27" s="21">
        <f t="shared" si="4"/>
        <v>639208.68000000005</v>
      </c>
      <c r="I27" s="21">
        <f>VLOOKUP(B27,'02-CAPACITA'!A$2:E$38,4,0)+VLOOKUP(B27,'01-FATTURATO'!A$2:F$39,6,0)+VLOOKUP(B27,'03-CAPILLARIZZAZIONE'!A$2:D$38,4,0)</f>
        <v>591794.7990333885</v>
      </c>
      <c r="J27" s="21">
        <f t="shared" si="5"/>
        <v>639208.68000000005</v>
      </c>
    </row>
    <row r="28" spans="2:10" ht="15" customHeight="1" x14ac:dyDescent="0.3">
      <c r="B28" s="20" t="s">
        <v>52</v>
      </c>
      <c r="C28" s="21">
        <f>VLOOKUP(B28,'02-CAPACITA'!A$2:B$38,2,0)</f>
        <v>1105453.3999999999</v>
      </c>
      <c r="D28" s="21">
        <f>VLOOKUP(B28,'01-FATTURATO'!A$2:B$38,2,0)</f>
        <v>636797.66</v>
      </c>
      <c r="E28" s="21">
        <f>VLOOKUP(B28,'02-CAPACITA'!A$2:E$38,4,0)+VLOOKUP(B28,'01-FATTURATO'!A$2:F$39,4,0)+VLOOKUP(B28,'03-CAPILLARIZZAZIONE'!A$2:D$38,2,0)</f>
        <v>700186.03946237813</v>
      </c>
      <c r="F28" s="21">
        <f t="shared" si="3"/>
        <v>700186.03946237813</v>
      </c>
      <c r="G28" s="21">
        <f>VLOOKUP(B28,'02-CAPACITA'!A$2:E$38,4,0)+VLOOKUP(B28,'01-FATTURATO'!A$2:F$39,5,0)+VLOOKUP(B28,'03-CAPILLARIZZAZIONE'!A$2:D$38,3,0)</f>
        <v>702287.27862401248</v>
      </c>
      <c r="H28" s="21">
        <f t="shared" si="4"/>
        <v>702287.27862401248</v>
      </c>
      <c r="I28" s="21">
        <f>VLOOKUP(B28,'02-CAPACITA'!A$2:E$38,4,0)+VLOOKUP(B28,'01-FATTURATO'!A$2:F$39,6,0)+VLOOKUP(B28,'03-CAPILLARIZZAZIONE'!A$2:D$38,4,0)</f>
        <v>704388.51778564695</v>
      </c>
      <c r="J28" s="21">
        <f t="shared" si="5"/>
        <v>704388.51778564695</v>
      </c>
    </row>
    <row r="29" spans="2:10" ht="15" customHeight="1" x14ac:dyDescent="0.3">
      <c r="B29" s="24" t="s">
        <v>53</v>
      </c>
      <c r="C29" s="21">
        <f>VLOOKUP(B29,'02-CAPACITA'!A$2:B$38,2,0)</f>
        <v>3450322.61666667</v>
      </c>
      <c r="D29" s="21">
        <f>VLOOKUP(B29,'01-FATTURATO'!A$2:B$38,2,0)</f>
        <v>1146746.959</v>
      </c>
      <c r="E29" s="21">
        <f>VLOOKUP(B29,'02-CAPACITA'!A$2:E$38,4,0)+VLOOKUP(B29,'01-FATTURATO'!A$2:F$39,4,0)+VLOOKUP(B29,'03-CAPILLARIZZAZIONE'!A$2:D$38,2,0)</f>
        <v>1441263.1797999502</v>
      </c>
      <c r="F29" s="21">
        <f t="shared" si="3"/>
        <v>1441263.1797999502</v>
      </c>
      <c r="G29" s="21">
        <f>VLOOKUP(B29,'02-CAPACITA'!A$2:E$38,4,0)+VLOOKUP(B29,'01-FATTURATO'!A$2:F$39,5,0)+VLOOKUP(B29,'03-CAPILLARIZZAZIONE'!A$2:D$38,3,0)</f>
        <v>1448984.8918432663</v>
      </c>
      <c r="H29" s="21">
        <f t="shared" si="4"/>
        <v>1448984.8918432663</v>
      </c>
      <c r="I29" s="21">
        <f>VLOOKUP(B29,'02-CAPACITA'!A$2:E$38,4,0)+VLOOKUP(B29,'01-FATTURATO'!A$2:F$39,6,0)+VLOOKUP(B29,'03-CAPILLARIZZAZIONE'!A$2:D$38,4,0)</f>
        <v>1456706.6038865824</v>
      </c>
      <c r="J29" s="21">
        <f t="shared" si="5"/>
        <v>1456706.6038865824</v>
      </c>
    </row>
    <row r="30" spans="2:10" ht="15" customHeight="1" x14ac:dyDescent="0.3">
      <c r="B30" s="24" t="s">
        <v>54</v>
      </c>
      <c r="C30" s="21">
        <f>VLOOKUP(B30,'02-CAPACITA'!A$2:B$38,2,0)</f>
        <v>2320213.48</v>
      </c>
      <c r="D30" s="21">
        <f>VLOOKUP(B30,'01-FATTURATO'!A$2:B$38,2,0)</f>
        <v>1287286.3999999999</v>
      </c>
      <c r="E30" s="21">
        <f>VLOOKUP(B30,'02-CAPACITA'!A$2:E$38,4,0)+VLOOKUP(B30,'01-FATTURATO'!A$2:F$39,4,0)+VLOOKUP(B30,'03-CAPILLARIZZAZIONE'!A$2:D$38,2,0)</f>
        <v>1427285.7204397621</v>
      </c>
      <c r="F30" s="21">
        <f t="shared" si="3"/>
        <v>1427285.7204397621</v>
      </c>
      <c r="G30" s="21">
        <f>VLOOKUP(B30,'02-CAPACITA'!A$2:E$38,4,0)+VLOOKUP(B30,'01-FATTURATO'!A$2:F$39,5,0)+VLOOKUP(B30,'03-CAPILLARIZZAZIONE'!A$2:D$38,3,0)</f>
        <v>1432408.9108721707</v>
      </c>
      <c r="H30" s="21">
        <f t="shared" si="4"/>
        <v>1432408.9108721707</v>
      </c>
      <c r="I30" s="21">
        <f>VLOOKUP(B30,'02-CAPACITA'!A$2:E$38,4,0)+VLOOKUP(B30,'01-FATTURATO'!A$2:F$39,6,0)+VLOOKUP(B30,'03-CAPILLARIZZAZIONE'!A$2:D$38,4,0)</f>
        <v>1437532.1013045793</v>
      </c>
      <c r="J30" s="21">
        <f t="shared" si="5"/>
        <v>1437532.1013045793</v>
      </c>
    </row>
    <row r="31" spans="2:10" ht="15" customHeight="1" x14ac:dyDescent="0.3">
      <c r="B31" s="20" t="s">
        <v>55</v>
      </c>
      <c r="C31" s="21">
        <f>VLOOKUP(B31,'02-CAPACITA'!A$2:B$38,2,0)</f>
        <v>362208</v>
      </c>
      <c r="D31" s="21">
        <f>VLOOKUP(B31,'01-FATTURATO'!A$2:B$38,2,0)</f>
        <v>116360.01478164201</v>
      </c>
      <c r="E31" s="21">
        <f>VLOOKUP(B31,'02-CAPACITA'!A$2:E$38,4,0)+VLOOKUP(B31,'01-FATTURATO'!A$2:F$39,4,0)+VLOOKUP(B31,'03-CAPILLARIZZAZIONE'!A$2:D$38,2,0)</f>
        <v>171406.15959524113</v>
      </c>
      <c r="F31" s="21">
        <f t="shared" si="3"/>
        <v>171406.15959524113</v>
      </c>
      <c r="G31" s="21">
        <f>VLOOKUP(B31,'02-CAPACITA'!A$2:E$38,4,0)+VLOOKUP(B31,'01-FATTURATO'!A$2:F$39,5,0)+VLOOKUP(B31,'03-CAPILLARIZZAZIONE'!A$2:D$38,3,0)</f>
        <v>184055.26938298997</v>
      </c>
      <c r="H31" s="21">
        <f t="shared" si="4"/>
        <v>184055.26938298997</v>
      </c>
      <c r="I31" s="21">
        <f>VLOOKUP(B31,'02-CAPACITA'!A$2:E$38,4,0)+VLOOKUP(B31,'01-FATTURATO'!A$2:F$39,6,0)+VLOOKUP(B31,'03-CAPILLARIZZAZIONE'!A$2:D$38,4,0)</f>
        <v>196704.3791707388</v>
      </c>
      <c r="J31" s="21">
        <f t="shared" si="5"/>
        <v>196704.3791707388</v>
      </c>
    </row>
  </sheetData>
  <autoFilter ref="A1:J31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13892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00-BUDGET</vt:lpstr>
      <vt:lpstr>01-FATTURATO</vt:lpstr>
      <vt:lpstr>02-CAPACITA</vt:lpstr>
      <vt:lpstr>03-CAPILLARIZZAZIONE calc</vt:lpstr>
      <vt:lpstr>03-CAPILLARIZZAZIONE</vt:lpstr>
      <vt:lpstr>04 - TOTALE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dc:description/>
  <cp:lastModifiedBy>Alice Fanni</cp:lastModifiedBy>
  <cp:revision>170</cp:revision>
  <cp:lastPrinted>2019-07-19T06:54:47Z</cp:lastPrinted>
  <dcterms:created xsi:type="dcterms:W3CDTF">2018-06-01T11:02:31Z</dcterms:created>
  <dcterms:modified xsi:type="dcterms:W3CDTF">2024-08-30T09:29:11Z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