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54805fanni\Desktop\Contratti\piani di acquisto 2024.2026\Piano Salute mentale\"/>
    </mc:Choice>
  </mc:AlternateContent>
  <bookViews>
    <workbookView xWindow="0" yWindow="0" windowWidth="20490" windowHeight="7650" tabRatio="500" firstSheet="4" activeTab="6"/>
  </bookViews>
  <sheets>
    <sheet name="NUOVI" sheetId="1" r:id="rId1"/>
    <sheet name="00-BUDGET" sheetId="2" r:id="rId2"/>
    <sheet name="01-FATTURATO" sheetId="3" r:id="rId3"/>
    <sheet name="02-CAPACITA" sheetId="4" r:id="rId4"/>
    <sheet name="03-CAPILLARIZZAZIONE calc" sheetId="5" r:id="rId5"/>
    <sheet name="03-CAPILLARIZZAZIONE" sheetId="6" r:id="rId6"/>
    <sheet name="04 - TOTALE" sheetId="7" r:id="rId7"/>
  </sheets>
  <definedNames>
    <definedName name="_xlnm._FilterDatabase" localSheetId="4" hidden="1">'03-CAPILLARIZZAZIONE calc'!$A$1:$O$42</definedName>
    <definedName name="_xlnm._FilterDatabase" localSheetId="6" hidden="1">'04 - TOTALE'!$A$1:$G$22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" i="5" l="1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A8" i="7"/>
  <c r="D7" i="7"/>
  <c r="C7" i="7"/>
  <c r="A7" i="7"/>
  <c r="D6" i="7"/>
  <c r="C6" i="7"/>
  <c r="A6" i="7"/>
  <c r="D5" i="7"/>
  <c r="C5" i="7"/>
  <c r="A5" i="7"/>
  <c r="D4" i="7"/>
  <c r="C4" i="7"/>
  <c r="A4" i="7"/>
  <c r="D3" i="7"/>
  <c r="C3" i="7"/>
  <c r="A3" i="7"/>
  <c r="D2" i="7"/>
  <c r="C2" i="7"/>
  <c r="A2" i="7"/>
  <c r="A8" i="6"/>
  <c r="A7" i="6"/>
  <c r="A6" i="6"/>
  <c r="A5" i="6"/>
  <c r="A4" i="6"/>
  <c r="A3" i="6"/>
  <c r="A2" i="6"/>
  <c r="I42" i="5"/>
  <c r="G42" i="5"/>
  <c r="I41" i="5"/>
  <c r="G41" i="5"/>
  <c r="I40" i="5"/>
  <c r="G40" i="5"/>
  <c r="I39" i="5"/>
  <c r="G39" i="5"/>
  <c r="I38" i="5"/>
  <c r="G38" i="5"/>
  <c r="I37" i="5"/>
  <c r="G37" i="5"/>
  <c r="I36" i="5"/>
  <c r="G36" i="5"/>
  <c r="I35" i="5"/>
  <c r="G35" i="5"/>
  <c r="I34" i="5"/>
  <c r="G34" i="5"/>
  <c r="I33" i="5"/>
  <c r="G33" i="5"/>
  <c r="I32" i="5"/>
  <c r="G32" i="5"/>
  <c r="I31" i="5"/>
  <c r="G31" i="5"/>
  <c r="I30" i="5"/>
  <c r="G30" i="5"/>
  <c r="I29" i="5"/>
  <c r="G29" i="5"/>
  <c r="I28" i="5"/>
  <c r="G28" i="5"/>
  <c r="I27" i="5"/>
  <c r="G27" i="5"/>
  <c r="I26" i="5"/>
  <c r="G26" i="5"/>
  <c r="I25" i="5"/>
  <c r="G25" i="5"/>
  <c r="I24" i="5"/>
  <c r="G24" i="5"/>
  <c r="I23" i="5"/>
  <c r="G23" i="5"/>
  <c r="I22" i="5"/>
  <c r="G22" i="5"/>
  <c r="I21" i="5"/>
  <c r="G21" i="5"/>
  <c r="I20" i="5"/>
  <c r="G20" i="5"/>
  <c r="I19" i="5"/>
  <c r="G19" i="5"/>
  <c r="I18" i="5"/>
  <c r="G18" i="5"/>
  <c r="I17" i="5"/>
  <c r="G17" i="5"/>
  <c r="I16" i="5"/>
  <c r="G16" i="5"/>
  <c r="A16" i="5"/>
  <c r="I15" i="5"/>
  <c r="G15" i="5"/>
  <c r="A15" i="5"/>
  <c r="I14" i="5"/>
  <c r="G14" i="5"/>
  <c r="A14" i="5"/>
  <c r="I13" i="5"/>
  <c r="G13" i="5"/>
  <c r="A13" i="5"/>
  <c r="I12" i="5"/>
  <c r="G12" i="5"/>
  <c r="A12" i="5"/>
  <c r="I11" i="5"/>
  <c r="G11" i="5"/>
  <c r="A11" i="5"/>
  <c r="I10" i="5"/>
  <c r="G10" i="5"/>
  <c r="A10" i="5"/>
  <c r="I9" i="5"/>
  <c r="G9" i="5"/>
  <c r="A9" i="5"/>
  <c r="I8" i="5"/>
  <c r="H8" i="5"/>
  <c r="J8" i="5" s="1"/>
  <c r="K8" i="5" s="1"/>
  <c r="G8" i="5"/>
  <c r="A8" i="5"/>
  <c r="I7" i="5"/>
  <c r="G7" i="5"/>
  <c r="A7" i="5"/>
  <c r="I6" i="5"/>
  <c r="H6" i="5"/>
  <c r="J6" i="5" s="1"/>
  <c r="K6" i="5" s="1"/>
  <c r="G6" i="5"/>
  <c r="A6" i="5"/>
  <c r="I5" i="5"/>
  <c r="G5" i="5"/>
  <c r="A5" i="5"/>
  <c r="I4" i="5"/>
  <c r="G4" i="5"/>
  <c r="A4" i="5"/>
  <c r="I3" i="5"/>
  <c r="G3" i="5"/>
  <c r="A3" i="5"/>
  <c r="I2" i="5"/>
  <c r="A2" i="5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A8" i="4"/>
  <c r="D7" i="4"/>
  <c r="A7" i="4"/>
  <c r="D6" i="4"/>
  <c r="A6" i="4"/>
  <c r="D5" i="4"/>
  <c r="A5" i="4"/>
  <c r="D4" i="4"/>
  <c r="A4" i="4"/>
  <c r="D3" i="4"/>
  <c r="A3" i="4"/>
  <c r="D2" i="4"/>
  <c r="A2" i="4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  <c r="E17" i="2"/>
  <c r="G17" i="2" s="1"/>
  <c r="E16" i="2"/>
  <c r="G16" i="2" s="1"/>
  <c r="G15" i="2"/>
  <c r="E15" i="2"/>
  <c r="F4" i="2"/>
  <c r="D4" i="2"/>
  <c r="B4" i="2"/>
  <c r="F3" i="2"/>
  <c r="D3" i="2"/>
  <c r="B3" i="2"/>
  <c r="F5" i="1"/>
  <c r="E5" i="1"/>
  <c r="D5" i="1"/>
  <c r="F4" i="1"/>
  <c r="E4" i="1"/>
  <c r="D4" i="1"/>
  <c r="B5" i="2" s="1"/>
  <c r="B7" i="2" s="1"/>
  <c r="B8" i="2" s="1"/>
  <c r="F3" i="1"/>
  <c r="E3" i="1"/>
  <c r="D3" i="1"/>
  <c r="F2" i="1"/>
  <c r="F5" i="2" s="1"/>
  <c r="E2" i="1"/>
  <c r="D2" i="1"/>
  <c r="D16" i="2" l="1"/>
  <c r="D15" i="2"/>
  <c r="D17" i="2"/>
  <c r="F6" i="2"/>
  <c r="F7" i="2"/>
  <c r="F8" i="2"/>
  <c r="H18" i="5"/>
  <c r="J18" i="5" s="1"/>
  <c r="K18" i="5" s="1"/>
  <c r="H28" i="5"/>
  <c r="J28" i="5" s="1"/>
  <c r="K28" i="5" s="1"/>
  <c r="H16" i="5"/>
  <c r="J16" i="5" s="1"/>
  <c r="K16" i="5" s="1"/>
  <c r="H12" i="5"/>
  <c r="J12" i="5" s="1"/>
  <c r="K12" i="5" s="1"/>
  <c r="H29" i="5"/>
  <c r="J29" i="5" s="1"/>
  <c r="K29" i="5" s="1"/>
  <c r="H38" i="5"/>
  <c r="J38" i="5" s="1"/>
  <c r="K38" i="5" s="1"/>
  <c r="H20" i="5"/>
  <c r="J20" i="5" s="1"/>
  <c r="K20" i="5" s="1"/>
  <c r="H2" i="5"/>
  <c r="J2" i="5" s="1"/>
  <c r="K2" i="5" s="1"/>
  <c r="H4" i="5"/>
  <c r="J4" i="5" s="1"/>
  <c r="K4" i="5" s="1"/>
  <c r="H41" i="5"/>
  <c r="J41" i="5" s="1"/>
  <c r="K41" i="5" s="1"/>
  <c r="H37" i="5"/>
  <c r="J37" i="5" s="1"/>
  <c r="K37" i="5" s="1"/>
  <c r="H17" i="5"/>
  <c r="J17" i="5" s="1"/>
  <c r="K17" i="5" s="1"/>
  <c r="H33" i="5"/>
  <c r="J33" i="5" s="1"/>
  <c r="K33" i="5" s="1"/>
  <c r="H34" i="5"/>
  <c r="J34" i="5" s="1"/>
  <c r="K34" i="5" s="1"/>
  <c r="H36" i="5"/>
  <c r="J36" i="5" s="1"/>
  <c r="K36" i="5" s="1"/>
  <c r="H40" i="5"/>
  <c r="J40" i="5" s="1"/>
  <c r="K40" i="5" s="1"/>
  <c r="H42" i="5"/>
  <c r="J42" i="5" s="1"/>
  <c r="K42" i="5" s="1"/>
  <c r="D5" i="2"/>
  <c r="D7" i="2" s="1"/>
  <c r="D8" i="2" s="1"/>
  <c r="H39" i="5"/>
  <c r="J39" i="5" s="1"/>
  <c r="K39" i="5" s="1"/>
  <c r="H35" i="5"/>
  <c r="J35" i="5" s="1"/>
  <c r="K35" i="5" s="1"/>
  <c r="H23" i="5"/>
  <c r="J23" i="5" s="1"/>
  <c r="K23" i="5" s="1"/>
  <c r="H32" i="5"/>
  <c r="J32" i="5" s="1"/>
  <c r="K32" i="5" s="1"/>
  <c r="H24" i="5"/>
  <c r="J24" i="5" s="1"/>
  <c r="K24" i="5" s="1"/>
  <c r="H3" i="5"/>
  <c r="J3" i="5" s="1"/>
  <c r="K3" i="5" s="1"/>
  <c r="H5" i="5"/>
  <c r="J5" i="5" s="1"/>
  <c r="K5" i="5" s="1"/>
  <c r="H7" i="5"/>
  <c r="J7" i="5" s="1"/>
  <c r="K7" i="5" s="1"/>
  <c r="L8" i="5" s="1"/>
  <c r="H9" i="5"/>
  <c r="J9" i="5" s="1"/>
  <c r="K9" i="5" s="1"/>
  <c r="H10" i="5"/>
  <c r="J10" i="5" s="1"/>
  <c r="K10" i="5" s="1"/>
  <c r="H14" i="5"/>
  <c r="J14" i="5" s="1"/>
  <c r="K14" i="5" s="1"/>
  <c r="H19" i="5"/>
  <c r="J19" i="5" s="1"/>
  <c r="K19" i="5" s="1"/>
  <c r="H21" i="5"/>
  <c r="J21" i="5" s="1"/>
  <c r="K21" i="5" s="1"/>
  <c r="H25" i="5"/>
  <c r="J25" i="5" s="1"/>
  <c r="K25" i="5" s="1"/>
  <c r="H26" i="5"/>
  <c r="J26" i="5" s="1"/>
  <c r="K26" i="5" s="1"/>
  <c r="H31" i="5"/>
  <c r="J31" i="5" s="1"/>
  <c r="K31" i="5" s="1"/>
  <c r="H11" i="5"/>
  <c r="J11" i="5" s="1"/>
  <c r="K11" i="5" s="1"/>
  <c r="H13" i="5"/>
  <c r="J13" i="5" s="1"/>
  <c r="K13" i="5" s="1"/>
  <c r="H15" i="5"/>
  <c r="J15" i="5" s="1"/>
  <c r="K15" i="5" s="1"/>
  <c r="H22" i="5"/>
  <c r="J22" i="5" s="1"/>
  <c r="K22" i="5" s="1"/>
  <c r="H27" i="5"/>
  <c r="J27" i="5" s="1"/>
  <c r="K27" i="5" s="1"/>
  <c r="L27" i="5" s="1"/>
  <c r="H30" i="5"/>
  <c r="J30" i="5" s="1"/>
  <c r="K30" i="5" s="1"/>
  <c r="F17" i="2" l="1"/>
  <c r="F16" i="2"/>
  <c r="F15" i="2"/>
  <c r="L31" i="5"/>
  <c r="L40" i="5"/>
  <c r="L20" i="5"/>
  <c r="M30" i="5"/>
  <c r="M37" i="5"/>
  <c r="M33" i="5"/>
  <c r="C2" i="6" s="1"/>
  <c r="M17" i="5"/>
  <c r="M40" i="5"/>
  <c r="C19" i="6" s="1"/>
  <c r="M39" i="5"/>
  <c r="M11" i="5"/>
  <c r="M9" i="5"/>
  <c r="M27" i="5"/>
  <c r="C7" i="6" s="1"/>
  <c r="M19" i="5"/>
  <c r="M7" i="5"/>
  <c r="M14" i="5"/>
  <c r="M10" i="5"/>
  <c r="M31" i="5"/>
  <c r="M8" i="5"/>
  <c r="M6" i="5"/>
  <c r="M23" i="5"/>
  <c r="C17" i="6" s="1"/>
  <c r="M20" i="5"/>
  <c r="L23" i="5"/>
  <c r="L41" i="5"/>
  <c r="M41" i="5" s="1"/>
  <c r="L38" i="5"/>
  <c r="M38" i="5" s="1"/>
  <c r="C21" i="6" s="1"/>
  <c r="L28" i="5"/>
  <c r="M28" i="5" s="1"/>
  <c r="C3" i="6" s="1"/>
  <c r="H16" i="2"/>
  <c r="H17" i="2"/>
  <c r="H15" i="2"/>
  <c r="E6" i="3"/>
  <c r="E2" i="3"/>
  <c r="E21" i="3"/>
  <c r="E17" i="3"/>
  <c r="E13" i="3"/>
  <c r="E9" i="3"/>
  <c r="E7" i="3"/>
  <c r="E5" i="3"/>
  <c r="E4" i="3"/>
  <c r="E22" i="3"/>
  <c r="E18" i="3"/>
  <c r="E14" i="3"/>
  <c r="E10" i="3"/>
  <c r="E3" i="3"/>
  <c r="E20" i="3"/>
  <c r="E16" i="3"/>
  <c r="E12" i="3"/>
  <c r="E8" i="3"/>
  <c r="E19" i="3"/>
  <c r="E15" i="3"/>
  <c r="E11" i="3"/>
  <c r="L4" i="5"/>
  <c r="M4" i="5" s="1"/>
  <c r="L29" i="5"/>
  <c r="M29" i="5" s="1"/>
  <c r="L18" i="5"/>
  <c r="M18" i="5" s="1"/>
  <c r="L11" i="5"/>
  <c r="L19" i="5"/>
  <c r="L7" i="5"/>
  <c r="L32" i="5"/>
  <c r="M32" i="5" s="1"/>
  <c r="L17" i="5"/>
  <c r="L16" i="5"/>
  <c r="M16" i="5" s="1"/>
  <c r="L22" i="5"/>
  <c r="M22" i="5" s="1"/>
  <c r="L26" i="5"/>
  <c r="M26" i="5" s="1"/>
  <c r="C5" i="6" s="1"/>
  <c r="L14" i="5"/>
  <c r="L5" i="5"/>
  <c r="M5" i="5" s="1"/>
  <c r="L36" i="5"/>
  <c r="M36" i="5" s="1"/>
  <c r="C13" i="6" s="1"/>
  <c r="L15" i="5"/>
  <c r="M15" i="5" s="1"/>
  <c r="C14" i="6" s="1"/>
  <c r="L25" i="5"/>
  <c r="M25" i="5" s="1"/>
  <c r="C10" i="6" s="1"/>
  <c r="L10" i="5"/>
  <c r="L3" i="5"/>
  <c r="M3" i="5" s="1"/>
  <c r="C22" i="6" s="1"/>
  <c r="L35" i="5"/>
  <c r="M35" i="5" s="1"/>
  <c r="L34" i="5"/>
  <c r="M34" i="5" s="1"/>
  <c r="C11" i="6" s="1"/>
  <c r="L30" i="5"/>
  <c r="L13" i="5"/>
  <c r="M13" i="5" s="1"/>
  <c r="C8" i="6" s="1"/>
  <c r="L21" i="5"/>
  <c r="M21" i="5" s="1"/>
  <c r="C4" i="6" s="1"/>
  <c r="L9" i="5"/>
  <c r="L24" i="5"/>
  <c r="M24" i="5" s="1"/>
  <c r="C16" i="6" s="1"/>
  <c r="L39" i="5"/>
  <c r="L42" i="5"/>
  <c r="M42" i="5" s="1"/>
  <c r="L33" i="5"/>
  <c r="L37" i="5"/>
  <c r="L2" i="5"/>
  <c r="M2" i="5" s="1"/>
  <c r="C15" i="6" s="1"/>
  <c r="L12" i="5"/>
  <c r="M12" i="5" s="1"/>
  <c r="C6" i="6" s="1"/>
  <c r="L6" i="5"/>
  <c r="E7" i="4"/>
  <c r="E3" i="4"/>
  <c r="E22" i="4"/>
  <c r="E21" i="4"/>
  <c r="E20" i="4"/>
  <c r="E19" i="4"/>
  <c r="E19" i="7" s="1"/>
  <c r="E18" i="4"/>
  <c r="E17" i="4"/>
  <c r="E16" i="4"/>
  <c r="E15" i="4"/>
  <c r="E14" i="4"/>
  <c r="E13" i="4"/>
  <c r="E12" i="4"/>
  <c r="E11" i="4"/>
  <c r="E10" i="4"/>
  <c r="E9" i="4"/>
  <c r="E8" i="4"/>
  <c r="E6" i="4"/>
  <c r="E5" i="4"/>
  <c r="E4" i="4"/>
  <c r="E2" i="4"/>
  <c r="C18" i="6" l="1"/>
  <c r="C12" i="6"/>
  <c r="E18" i="7"/>
  <c r="E5" i="7"/>
  <c r="E22" i="7"/>
  <c r="C9" i="6"/>
  <c r="F5" i="3"/>
  <c r="F22" i="3"/>
  <c r="F18" i="3"/>
  <c r="F14" i="3"/>
  <c r="F10" i="3"/>
  <c r="F6" i="3"/>
  <c r="F3" i="3"/>
  <c r="F19" i="3"/>
  <c r="F15" i="3"/>
  <c r="F11" i="3"/>
  <c r="F2" i="3"/>
  <c r="F20" i="3"/>
  <c r="F16" i="3"/>
  <c r="F12" i="3"/>
  <c r="F8" i="3"/>
  <c r="F7" i="3"/>
  <c r="F21" i="3"/>
  <c r="F17" i="3"/>
  <c r="F13" i="3"/>
  <c r="F9" i="3"/>
  <c r="F4" i="3"/>
  <c r="E8" i="7"/>
  <c r="F6" i="4"/>
  <c r="F2" i="4"/>
  <c r="F7" i="4"/>
  <c r="F7" i="7" s="1"/>
  <c r="F4" i="4"/>
  <c r="F3" i="4"/>
  <c r="F22" i="4"/>
  <c r="F18" i="4"/>
  <c r="F18" i="7" s="1"/>
  <c r="F14" i="4"/>
  <c r="F10" i="4"/>
  <c r="F19" i="4"/>
  <c r="F15" i="4"/>
  <c r="F11" i="4"/>
  <c r="F20" i="4"/>
  <c r="F16" i="4"/>
  <c r="F12" i="4"/>
  <c r="F8" i="4"/>
  <c r="F17" i="4"/>
  <c r="F9" i="4"/>
  <c r="F5" i="4"/>
  <c r="F5" i="7" s="1"/>
  <c r="F21" i="4"/>
  <c r="F13" i="4"/>
  <c r="E10" i="7"/>
  <c r="E14" i="7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4" i="3"/>
  <c r="G2" i="3"/>
  <c r="G7" i="3"/>
  <c r="G6" i="3"/>
  <c r="G3" i="3"/>
  <c r="G5" i="3"/>
  <c r="E6" i="7"/>
  <c r="E11" i="7"/>
  <c r="E15" i="7"/>
  <c r="E3" i="7"/>
  <c r="E2" i="7"/>
  <c r="E12" i="7"/>
  <c r="E16" i="7"/>
  <c r="E7" i="7"/>
  <c r="O40" i="5"/>
  <c r="E19" i="6" s="1"/>
  <c r="O36" i="5"/>
  <c r="O32" i="5"/>
  <c r="O28" i="5"/>
  <c r="O24" i="5"/>
  <c r="E16" i="6" s="1"/>
  <c r="O39" i="5"/>
  <c r="O35" i="5"/>
  <c r="O31" i="5"/>
  <c r="O27" i="5"/>
  <c r="E7" i="6" s="1"/>
  <c r="O23" i="5"/>
  <c r="E17" i="6" s="1"/>
  <c r="O19" i="5"/>
  <c r="O42" i="5"/>
  <c r="O38" i="5"/>
  <c r="E21" i="6" s="1"/>
  <c r="O34" i="5"/>
  <c r="O41" i="5"/>
  <c r="O37" i="5"/>
  <c r="O26" i="5"/>
  <c r="E5" i="6" s="1"/>
  <c r="O17" i="5"/>
  <c r="O14" i="5"/>
  <c r="O10" i="5"/>
  <c r="O30" i="5"/>
  <c r="O25" i="5"/>
  <c r="E10" i="6" s="1"/>
  <c r="O15" i="5"/>
  <c r="O11" i="5"/>
  <c r="O33" i="5"/>
  <c r="E2" i="6" s="1"/>
  <c r="O29" i="5"/>
  <c r="O22" i="5"/>
  <c r="O20" i="5"/>
  <c r="O18" i="5"/>
  <c r="O16" i="5"/>
  <c r="O12" i="5"/>
  <c r="E6" i="6" s="1"/>
  <c r="O8" i="5"/>
  <c r="O7" i="5"/>
  <c r="O6" i="5"/>
  <c r="O5" i="5"/>
  <c r="O4" i="5"/>
  <c r="O21" i="5"/>
  <c r="O9" i="5"/>
  <c r="O13" i="5"/>
  <c r="E8" i="6" s="1"/>
  <c r="O2" i="5"/>
  <c r="E15" i="6" s="1"/>
  <c r="O3" i="5"/>
  <c r="E22" i="6" s="1"/>
  <c r="E4" i="7"/>
  <c r="E9" i="7"/>
  <c r="E13" i="7"/>
  <c r="E17" i="7"/>
  <c r="E21" i="7"/>
  <c r="G5" i="4"/>
  <c r="G3" i="4"/>
  <c r="G2" i="4"/>
  <c r="G19" i="4"/>
  <c r="G15" i="4"/>
  <c r="G11" i="4"/>
  <c r="G6" i="4"/>
  <c r="G20" i="4"/>
  <c r="G16" i="4"/>
  <c r="G16" i="7" s="1"/>
  <c r="G12" i="4"/>
  <c r="G8" i="4"/>
  <c r="G7" i="4"/>
  <c r="G7" i="7" s="1"/>
  <c r="G21" i="4"/>
  <c r="G21" i="7" s="1"/>
  <c r="G17" i="4"/>
  <c r="G17" i="7" s="1"/>
  <c r="G13" i="4"/>
  <c r="G9" i="4"/>
  <c r="G4" i="4"/>
  <c r="G22" i="4"/>
  <c r="G14" i="4"/>
  <c r="G18" i="4"/>
  <c r="G10" i="4"/>
  <c r="C20" i="6"/>
  <c r="E20" i="7" s="1"/>
  <c r="N41" i="5"/>
  <c r="D18" i="6" s="1"/>
  <c r="N37" i="5"/>
  <c r="N33" i="5"/>
  <c r="D2" i="6" s="1"/>
  <c r="N29" i="5"/>
  <c r="N25" i="5"/>
  <c r="D10" i="6" s="1"/>
  <c r="N40" i="5"/>
  <c r="D19" i="6" s="1"/>
  <c r="N36" i="5"/>
  <c r="D13" i="6" s="1"/>
  <c r="N32" i="5"/>
  <c r="N28" i="5"/>
  <c r="N24" i="5"/>
  <c r="D16" i="6" s="1"/>
  <c r="N20" i="5"/>
  <c r="N16" i="5"/>
  <c r="N14" i="5"/>
  <c r="N12" i="5"/>
  <c r="D6" i="6" s="1"/>
  <c r="N10" i="5"/>
  <c r="N39" i="5"/>
  <c r="N35" i="5"/>
  <c r="N42" i="5"/>
  <c r="N30" i="5"/>
  <c r="N27" i="5"/>
  <c r="D7" i="6" s="1"/>
  <c r="N22" i="5"/>
  <c r="N19" i="5"/>
  <c r="N18" i="5"/>
  <c r="N8" i="5"/>
  <c r="N6" i="5"/>
  <c r="N4" i="5"/>
  <c r="N2" i="5"/>
  <c r="D15" i="6" s="1"/>
  <c r="N21" i="5"/>
  <c r="N13" i="5"/>
  <c r="D8" i="6" s="1"/>
  <c r="N9" i="5"/>
  <c r="N38" i="5"/>
  <c r="D21" i="6" s="1"/>
  <c r="N31" i="5"/>
  <c r="D20" i="6" s="1"/>
  <c r="N26" i="5"/>
  <c r="D5" i="6" s="1"/>
  <c r="N17" i="5"/>
  <c r="N34" i="5"/>
  <c r="D11" i="6" s="1"/>
  <c r="N23" i="5"/>
  <c r="D17" i="6" s="1"/>
  <c r="N15" i="5"/>
  <c r="N11" i="5"/>
  <c r="N3" i="5"/>
  <c r="D22" i="6" s="1"/>
  <c r="N7" i="5"/>
  <c r="N5" i="5"/>
  <c r="G10" i="7" l="1"/>
  <c r="G15" i="7"/>
  <c r="E14" i="6"/>
  <c r="E18" i="6"/>
  <c r="G18" i="7" s="1"/>
  <c r="G5" i="7"/>
  <c r="E13" i="6"/>
  <c r="G13" i="7" s="1"/>
  <c r="G2" i="7"/>
  <c r="D12" i="6"/>
  <c r="F12" i="7" s="1"/>
  <c r="G19" i="7"/>
  <c r="E9" i="6"/>
  <c r="G9" i="7" s="1"/>
  <c r="E11" i="6"/>
  <c r="F16" i="7"/>
  <c r="F19" i="7"/>
  <c r="F22" i="7"/>
  <c r="F2" i="7"/>
  <c r="E4" i="6"/>
  <c r="G4" i="7" s="1"/>
  <c r="B9" i="2"/>
  <c r="B10" i="2" s="1"/>
  <c r="F13" i="7"/>
  <c r="F17" i="7"/>
  <c r="F20" i="7"/>
  <c r="F10" i="7"/>
  <c r="F6" i="7"/>
  <c r="F15" i="7"/>
  <c r="D14" i="6"/>
  <c r="D9" i="6"/>
  <c r="F9" i="7" s="1"/>
  <c r="D3" i="6"/>
  <c r="F3" i="7" s="1"/>
  <c r="G14" i="7"/>
  <c r="G8" i="7"/>
  <c r="G6" i="7"/>
  <c r="D4" i="6"/>
  <c r="G22" i="7"/>
  <c r="G11" i="7"/>
  <c r="E12" i="6"/>
  <c r="G12" i="7" s="1"/>
  <c r="E20" i="6"/>
  <c r="G20" i="7" s="1"/>
  <c r="E3" i="6"/>
  <c r="G3" i="7" s="1"/>
  <c r="F21" i="7"/>
  <c r="F8" i="7"/>
  <c r="F11" i="7"/>
  <c r="F14" i="7"/>
  <c r="F4" i="7"/>
  <c r="F9" i="2" l="1"/>
  <c r="F10" i="2" s="1"/>
  <c r="D9" i="2"/>
  <c r="D10" i="2" s="1"/>
</calcChain>
</file>

<file path=xl/sharedStrings.xml><?xml version="1.0" encoding="utf-8"?>
<sst xmlns="http://schemas.openxmlformats.org/spreadsheetml/2006/main" count="317" uniqueCount="112">
  <si>
    <t>NOME STRUTTURA</t>
  </si>
  <si>
    <t>TIPOLOGIA</t>
  </si>
  <si>
    <t>CAPACITA’</t>
  </si>
  <si>
    <t>COOP. SOCIALE CTR ONLUS</t>
  </si>
  <si>
    <t>SRP1 adulti</t>
  </si>
  <si>
    <t>EMMAUS</t>
  </si>
  <si>
    <t>SRP2 adulti</t>
  </si>
  <si>
    <t>STUDIO FKT DOTT. S. MELE</t>
  </si>
  <si>
    <t>Autismo semiresidenziale</t>
  </si>
  <si>
    <t>Villa San Giuseppe</t>
  </si>
  <si>
    <t>SRP3 adulti</t>
  </si>
  <si>
    <t>BUDGET TOTALE</t>
  </si>
  <si>
    <t>NUOVI CONTRATTI</t>
  </si>
  <si>
    <t>ACCANTONAMENTO</t>
  </si>
  <si>
    <t>RESIDUO DEL 10</t>
  </si>
  <si>
    <t>BUDGET DA DISTRIBUIRE</t>
  </si>
  <si>
    <t>BUDGET DISTRIBUITO</t>
  </si>
  <si>
    <t>RESIDUO</t>
  </si>
  <si>
    <t>CRITERI</t>
  </si>
  <si>
    <t>%</t>
  </si>
  <si>
    <t>BUDGET</t>
  </si>
  <si>
    <t>FATTURATO</t>
  </si>
  <si>
    <t>CAPACITA</t>
  </si>
  <si>
    <t>CAPILLARIZZAZIONE</t>
  </si>
  <si>
    <t>CHIAVE</t>
  </si>
  <si>
    <t>Nome Struttura</t>
  </si>
  <si>
    <t>FATTURATO MEDIO</t>
  </si>
  <si>
    <t>BUDGET FATTURATO 2024</t>
  </si>
  <si>
    <t>BUDGET FATTURATO 2025</t>
  </si>
  <si>
    <t>BUDGET FATTURATO 2026</t>
  </si>
  <si>
    <t>PROMOZIONE SOCIETA' COOPERATIVA SOCIALE</t>
  </si>
  <si>
    <t>VILLA SAN GIUSEPPE S.R.L.</t>
  </si>
  <si>
    <t>AINNANTI S.R.L.</t>
  </si>
  <si>
    <t>PROGETTO UOMO- COOPERATIVA SOCIALE DI SOLIDARIETA' ARL</t>
  </si>
  <si>
    <t>APPRODI SOCIETA' COOPERATIVA SOCIALE</t>
  </si>
  <si>
    <t>SONTSE - SOCIETA' COOPERATIVA SOCIALE</t>
  </si>
  <si>
    <t>CODESS SOCIALE SOCIETA' COOPERATIVA SOCIALE - ONLUS</t>
  </si>
  <si>
    <t>ANTES SOC. COOP. SOCIALE</t>
  </si>
  <si>
    <t>COOPERATIVA SOCIALE L'ARCA</t>
  </si>
  <si>
    <t xml:space="preserve">ISTITUTO MEDICO PEDAGOGICO OPERA GESU' NAZARENO </t>
  </si>
  <si>
    <t>CENTRO D'ASCOLTO MADONNA DEL ROSARIO</t>
  </si>
  <si>
    <t>A 18 FONDAZIONE PER L'AUTISMO</t>
  </si>
  <si>
    <t>COOPERATIVA SOCIALE CTR - COMUNICAZIONE TERRITORIO RELAZIONI - ONLUS</t>
  </si>
  <si>
    <t>ASSOCIAZIONE CASA EMMAUS IMPRESA SOCIALE – MINORI</t>
  </si>
  <si>
    <t>RESIDENZA TURCHESE S.R.L. - GRUPPO IPPOCRATE</t>
  </si>
  <si>
    <t>RESIDENZA SMERALDO S.R.L. - GRUPPO IPPOCRATE</t>
  </si>
  <si>
    <t>ASSOCIAZIONE CASA EMMAUS IMPRESA SOCIALE DCA</t>
  </si>
  <si>
    <t>CENTRO FISIOTERAPICO SB SRL</t>
  </si>
  <si>
    <t>CENTRO PARACELSO RIABILITAZIONE SRL - SESTU</t>
  </si>
  <si>
    <t>FONDAZIONE CENTRO SERVIZI ALLA PERSONA</t>
  </si>
  <si>
    <t>ASSOCIAZIONE CASA EMMAUS IMPRESA SOCIALE – ADULTI</t>
  </si>
  <si>
    <t>BUDGET CAPACITA’ 2024</t>
  </si>
  <si>
    <t>BUDGET CAPACITA’ 2025</t>
  </si>
  <si>
    <t>BUDGET CAPACITA’ 2026</t>
  </si>
  <si>
    <t>ASSL</t>
  </si>
  <si>
    <t>livello contrattato</t>
  </si>
  <si>
    <t>INDICE ABITANTI</t>
  </si>
  <si>
    <t>INDICE PRESENZA</t>
  </si>
  <si>
    <t>MEDIA INDICI</t>
  </si>
  <si>
    <t>% INDICI</t>
  </si>
  <si>
    <t>BUDGET CAPILLARIZZAZIONE 2024</t>
  </si>
  <si>
    <t>BUDGET CAPILLARIZZAZIONE 2025</t>
  </si>
  <si>
    <t>BUDGET CAPILLARIZZAZIONE 2026</t>
  </si>
  <si>
    <t>SULCIS</t>
  </si>
  <si>
    <t>LO SPECCHIO - Domusnovas</t>
  </si>
  <si>
    <t xml:space="preserve">
SRP2 minori</t>
  </si>
  <si>
    <t>Emmaus SRP3</t>
  </si>
  <si>
    <t>MEDIO CAMPIDANO</t>
  </si>
  <si>
    <t xml:space="preserve">COMUNITA' TERAPEUTICA SAN MICHELE  </t>
  </si>
  <si>
    <t>COMUNITA' BETANIA</t>
  </si>
  <si>
    <t>OGLIASTRA</t>
  </si>
  <si>
    <t>ANTES - In cima (Ussassai)</t>
  </si>
  <si>
    <t>ANTES - Ahora (Arzana)</t>
  </si>
  <si>
    <t xml:space="preserve">ANTES - STRUTTURA AHORA B - S.P. 23 ARZANA </t>
  </si>
  <si>
    <t>ANTES - ANDALA (Gairo)</t>
  </si>
  <si>
    <t>NUORO</t>
  </si>
  <si>
    <t xml:space="preserve">APPRODI </t>
  </si>
  <si>
    <t xml:space="preserve">CODESS SOCIALE 
</t>
  </si>
  <si>
    <t>CAGLIARI</t>
  </si>
  <si>
    <t>COOP. SOCIALE CTR ONLUS - Assemini</t>
  </si>
  <si>
    <t>ORISTANO</t>
  </si>
  <si>
    <t>COOP. SOCIALE CTR ONLUS - Santa Giusta SX</t>
  </si>
  <si>
    <t>COOP. SOCIALE CTR ONLUS - Santa Giusta DX</t>
  </si>
  <si>
    <t>COMUNITA' TERAPEUTICA INUS (Ainnanti)</t>
  </si>
  <si>
    <t>SRP1 minori</t>
  </si>
  <si>
    <t>COMUNITA' S'Enna (Ainnanti)</t>
  </si>
  <si>
    <t xml:space="preserve">Residenza Smeraldo </t>
  </si>
  <si>
    <t xml:space="preserve">Residenza Turchese </t>
  </si>
  <si>
    <t>COMUNITA' SANTA CATERINA - L'ARCA</t>
  </si>
  <si>
    <t xml:space="preserve">PROGETTO UOMO </t>
  </si>
  <si>
    <t xml:space="preserve">SONTSE  </t>
  </si>
  <si>
    <t>SASSARI</t>
  </si>
  <si>
    <t xml:space="preserve">Villa San Giuseppe - CASA SABINA </t>
  </si>
  <si>
    <t>PARACELSO RIABILITAZIONE</t>
  </si>
  <si>
    <t>CENTRO DIURNO</t>
  </si>
  <si>
    <t xml:space="preserve">OPERA GESU’ NAZARENO </t>
  </si>
  <si>
    <t xml:space="preserve">AUTISMO 
RESIDENZIALE 
 </t>
  </si>
  <si>
    <t xml:space="preserve">AUTISMO 
SEMIRESIDENZIALE </t>
  </si>
  <si>
    <t xml:space="preserve">A18 ONLUS </t>
  </si>
  <si>
    <t>CENTRO SERVIZI ALLA PERSONA</t>
  </si>
  <si>
    <t>CENTRO FISIOTERAPICO S.B. SRL</t>
  </si>
  <si>
    <t>LO SPECCHIO</t>
  </si>
  <si>
    <t xml:space="preserve">Disturbi comportamento alimentare - SEMIRESIDENZIALE </t>
  </si>
  <si>
    <t xml:space="preserve">Disturbi comportamento alimentare - RESIDENZIALE </t>
  </si>
  <si>
    <t>BUDGET 2024</t>
  </si>
  <si>
    <t>BUDGET 2025</t>
  </si>
  <si>
    <t>BUDGET 2026</t>
  </si>
  <si>
    <t>livello per ASL</t>
  </si>
  <si>
    <t>ENTE GIURICO</t>
  </si>
  <si>
    <t>N. STRUTTURE STESSO LIVELLO NELL'ASL</t>
  </si>
  <si>
    <t>N. STRUTTURE STESSO LIVELLO SARDEGNA</t>
  </si>
  <si>
    <t>CAPACITA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</si>
</sst>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 €&quot;_-;\-* #,##0.00&quot; €&quot;_-;_-* \-??&quot; €&quot;_-;_-@_-"/>
    <numFmt numFmtId="165" formatCode="_-* #,##0.00_-;\-* #,##0.00_-;_-* \-??_-;_-@_-"/>
    <numFmt numFmtId="166" formatCode="0.0%"/>
    <numFmt numFmtId="167" formatCode="_-* #,##0.00\ _€_-;\-* #,##0.00\ _€_-;_-* \-??\ _€_-;_-@_-"/>
    <numFmt numFmtId="168" formatCode="_-* #,##0_-;\-* #,##0_-;_-* \-??_-;_-@_-"/>
  </numFmts>
  <fonts count="8" x14ac:knownFonts="1"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sz val="12"/>
      <name val="Calibri"/>
      <family val="2"/>
      <charset val="1"/>
    </font>
    <font>
      <sz val="12"/>
      <name val="Arial"/>
      <family val="2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5429"/>
        <bgColor rgb="FFFF8080"/>
      </patternFill>
    </fill>
    <fill>
      <patternFill patternType="solid">
        <fgColor theme="6" tint="0.79989013336588644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165" fontId="7" fillId="0" borderId="0" applyBorder="0" applyProtection="0"/>
    <xf numFmtId="9" fontId="7" fillId="0" borderId="0" applyBorder="0" applyProtection="0"/>
    <xf numFmtId="0" fontId="1" fillId="0" borderId="0" applyBorder="0" applyProtection="0">
      <alignment horizontal="left"/>
    </xf>
    <xf numFmtId="0" fontId="2" fillId="0" borderId="0"/>
    <xf numFmtId="0" fontId="7" fillId="2" borderId="0" applyProtection="0"/>
    <xf numFmtId="164" fontId="7" fillId="0" borderId="0" applyBorder="0" applyProtection="0"/>
  </cellStyleXfs>
  <cellXfs count="35">
    <xf numFmtId="0" fontId="0" fillId="0" borderId="0" xfId="0"/>
    <xf numFmtId="0" fontId="0" fillId="0" borderId="0" xfId="0" applyAlignment="1" applyProtection="1"/>
    <xf numFmtId="4" fontId="3" fillId="0" borderId="1" xfId="0" applyNumberFormat="1" applyFont="1" applyBorder="1" applyAlignment="1" applyProtection="1"/>
    <xf numFmtId="0" fontId="3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/>
    <xf numFmtId="4" fontId="0" fillId="0" borderId="1" xfId="0" applyNumberFormat="1" applyBorder="1" applyAlignment="1" applyProtection="1">
      <alignment horizontal="right"/>
    </xf>
    <xf numFmtId="4" fontId="0" fillId="0" borderId="1" xfId="0" applyNumberFormat="1" applyBorder="1" applyAlignment="1" applyProtection="1"/>
    <xf numFmtId="0" fontId="3" fillId="0" borderId="1" xfId="0" applyFont="1" applyBorder="1" applyAlignment="1" applyProtection="1"/>
    <xf numFmtId="0" fontId="3" fillId="0" borderId="0" xfId="0" applyFont="1" applyAlignment="1" applyProtection="1"/>
    <xf numFmtId="9" fontId="3" fillId="0" borderId="1" xfId="0" applyNumberFormat="1" applyFont="1" applyBorder="1" applyAlignment="1" applyProtection="1"/>
    <xf numFmtId="9" fontId="3" fillId="0" borderId="1" xfId="2" applyFont="1" applyBorder="1" applyAlignment="1" applyProtection="1"/>
    <xf numFmtId="165" fontId="0" fillId="0" borderId="1" xfId="1" applyFont="1" applyBorder="1" applyAlignment="1" applyProtection="1"/>
    <xf numFmtId="10" fontId="0" fillId="0" borderId="0" xfId="2" applyNumberFormat="1" applyFont="1" applyBorder="1" applyAlignment="1" applyProtection="1"/>
    <xf numFmtId="10" fontId="0" fillId="0" borderId="0" xfId="0" applyNumberFormat="1" applyAlignment="1" applyProtection="1"/>
    <xf numFmtId="165" fontId="0" fillId="0" borderId="1" xfId="1" applyFont="1" applyBorder="1" applyAlignment="1" applyProtection="1">
      <alignment vertical="center"/>
    </xf>
    <xf numFmtId="165" fontId="3" fillId="0" borderId="1" xfId="1" applyFont="1" applyBorder="1" applyAlignment="1" applyProtection="1">
      <alignment vertical="center"/>
    </xf>
    <xf numFmtId="166" fontId="0" fillId="0" borderId="1" xfId="2" applyNumberFormat="1" applyFont="1" applyBorder="1" applyAlignment="1" applyProtection="1"/>
    <xf numFmtId="167" fontId="0" fillId="0" borderId="1" xfId="0" applyNumberFormat="1" applyBorder="1" applyAlignment="1" applyProtection="1"/>
    <xf numFmtId="0" fontId="4" fillId="3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left" vertical="center" wrapText="1"/>
    </xf>
    <xf numFmtId="165" fontId="6" fillId="0" borderId="1" xfId="1" applyFont="1" applyBorder="1" applyAlignment="1" applyProtection="1">
      <alignment horizontal="center" vertical="center" wrapText="1"/>
    </xf>
    <xf numFmtId="10" fontId="6" fillId="0" borderId="1" xfId="2" applyNumberFormat="1" applyFont="1" applyBorder="1" applyAlignment="1" applyProtection="1">
      <alignment horizontal="center" vertical="center" wrapText="1"/>
    </xf>
    <xf numFmtId="167" fontId="0" fillId="0" borderId="0" xfId="0" applyNumberFormat="1" applyAlignment="1" applyProtection="1"/>
    <xf numFmtId="4" fontId="6" fillId="0" borderId="1" xfId="1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4" fillId="3" borderId="2" xfId="0" applyFont="1" applyFill="1" applyBorder="1" applyAlignment="1" applyProtection="1">
      <alignment horizontal="center" vertical="center" wrapText="1"/>
    </xf>
    <xf numFmtId="165" fontId="0" fillId="0" borderId="0" xfId="1" applyFont="1" applyBorder="1" applyAlignment="1" applyProtection="1"/>
    <xf numFmtId="165" fontId="0" fillId="0" borderId="1" xfId="1" applyFont="1" applyBorder="1" applyAlignment="1" applyProtection="1">
      <alignment wrapText="1"/>
    </xf>
    <xf numFmtId="168" fontId="0" fillId="0" borderId="1" xfId="1" applyNumberFormat="1" applyFont="1" applyBorder="1" applyAlignment="1" applyProtection="1"/>
    <xf numFmtId="10" fontId="0" fillId="0" borderId="1" xfId="2" applyNumberFormat="1" applyFont="1" applyBorder="1" applyAlignment="1" applyProtection="1"/>
    <xf numFmtId="9" fontId="7" fillId="0" borderId="0" xfId="2"/>
    <xf numFmtId="9" fontId="0" fillId="0" borderId="1" xfId="2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</cellXfs>
  <cellStyles count="7">
    <cellStyle name="Categoria tabella pivot" xfId="3"/>
    <cellStyle name="Migliaia" xfId="1" builtinId="3"/>
    <cellStyle name="Normale" xfId="0" builtinId="0"/>
    <cellStyle name="Normale 2" xfId="4"/>
    <cellStyle name="Percentuale" xfId="2" builtinId="5"/>
    <cellStyle name="Senza nome1" xfId="5"/>
    <cellStyle name="Valuta 2" xfId="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ED4BB"/>
      <rgbColor rgb="FF3366FF"/>
      <rgbColor rgb="FF33CCCC"/>
      <rgbColor rgb="FF99CC00"/>
      <rgbColor rgb="FFFFCC00"/>
      <rgbColor rgb="FFFF9900"/>
      <rgbColor rgb="FFFF542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="146" zoomScaleNormal="146" workbookViewId="0">
      <selection activeCell="D11" sqref="D11"/>
    </sheetView>
  </sheetViews>
  <sheetFormatPr defaultColWidth="10.5" defaultRowHeight="15.75" x14ac:dyDescent="0.25"/>
  <cols>
    <col min="1" max="1" width="24.125" style="1" customWidth="1"/>
    <col min="2" max="2" width="22.625" style="1" customWidth="1"/>
    <col min="3" max="3" width="10.875" style="1" customWidth="1"/>
    <col min="5" max="5" width="12.875" style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3">
        <v>2024</v>
      </c>
      <c r="E1" s="3">
        <v>2025</v>
      </c>
      <c r="F1" s="3">
        <v>2026</v>
      </c>
    </row>
    <row r="2" spans="1:6" x14ac:dyDescent="0.25">
      <c r="A2" s="4" t="s">
        <v>3</v>
      </c>
      <c r="B2" s="4" t="s">
        <v>4</v>
      </c>
      <c r="C2" s="5">
        <v>429240</v>
      </c>
      <c r="D2" s="6">
        <f>C2*0.3*4/12</f>
        <v>42924</v>
      </c>
      <c r="E2" s="6">
        <f>C2*0.35</f>
        <v>150234</v>
      </c>
      <c r="F2" s="6">
        <f>C2*0.4</f>
        <v>171696</v>
      </c>
    </row>
    <row r="3" spans="1:6" x14ac:dyDescent="0.25">
      <c r="A3" s="4" t="s">
        <v>5</v>
      </c>
      <c r="B3" s="4" t="s">
        <v>6</v>
      </c>
      <c r="C3" s="5">
        <v>365000</v>
      </c>
      <c r="D3" s="6">
        <f>C3*0.3*4/12</f>
        <v>36500</v>
      </c>
      <c r="E3" s="6">
        <f>C3*0.35</f>
        <v>127749.99999999999</v>
      </c>
      <c r="F3" s="6">
        <f>C3*0.4</f>
        <v>146000</v>
      </c>
    </row>
    <row r="4" spans="1:6" x14ac:dyDescent="0.25">
      <c r="A4" s="4" t="s">
        <v>7</v>
      </c>
      <c r="B4" s="4" t="s">
        <v>8</v>
      </c>
      <c r="C4" s="5">
        <v>634088</v>
      </c>
      <c r="D4" s="6">
        <f>C4*0.3*4/12</f>
        <v>63408.799999999996</v>
      </c>
      <c r="E4" s="6">
        <f>C4*0.35</f>
        <v>221930.8</v>
      </c>
      <c r="F4" s="6">
        <f>C4*0.4</f>
        <v>253635.20000000001</v>
      </c>
    </row>
    <row r="5" spans="1:6" x14ac:dyDescent="0.25">
      <c r="A5" s="4" t="s">
        <v>9</v>
      </c>
      <c r="B5" s="4" t="s">
        <v>10</v>
      </c>
      <c r="C5" s="5">
        <v>175200</v>
      </c>
      <c r="D5" s="6">
        <f>C5*0.3*4/12</f>
        <v>17520</v>
      </c>
      <c r="E5" s="6">
        <f>C5*0.35</f>
        <v>61319.999999999993</v>
      </c>
      <c r="F5" s="6">
        <f>C5*0.4</f>
        <v>70080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Roman,Normale"&amp;Kffffff&amp;A</oddHeader>
    <oddFooter>&amp;C&amp;"Times New Roman,Normale"&amp;KffffffPagina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"/>
  <sheetViews>
    <sheetView zoomScale="98" zoomScaleNormal="98" workbookViewId="0">
      <selection activeCell="I9" sqref="I9"/>
    </sheetView>
  </sheetViews>
  <sheetFormatPr defaultColWidth="8.625" defaultRowHeight="15.75" x14ac:dyDescent="0.25"/>
  <cols>
    <col min="1" max="1" width="23.375" style="1" customWidth="1"/>
    <col min="2" max="2" width="14.25" style="1" customWidth="1"/>
    <col min="3" max="3" width="6.125" style="1" customWidth="1"/>
    <col min="4" max="4" width="19.25" style="1" customWidth="1"/>
    <col min="5" max="5" width="6.5" style="1" customWidth="1"/>
    <col min="6" max="6" width="16.375" style="1" customWidth="1"/>
    <col min="7" max="7" width="6.5" style="1" customWidth="1"/>
    <col min="8" max="8" width="16.375" style="1" customWidth="1"/>
    <col min="9" max="9" width="10.75" style="1" customWidth="1"/>
    <col min="10" max="10" width="14.5" style="1" customWidth="1"/>
    <col min="16384" max="16384" width="10.5" style="1" customWidth="1"/>
  </cols>
  <sheetData>
    <row r="1" spans="1:15" x14ac:dyDescent="0.25">
      <c r="B1" s="7">
        <v>2024</v>
      </c>
      <c r="C1" s="8"/>
      <c r="D1" s="7">
        <v>2025</v>
      </c>
      <c r="E1" s="8"/>
      <c r="F1" s="7">
        <v>2026</v>
      </c>
    </row>
    <row r="2" spans="1:15" x14ac:dyDescent="0.25">
      <c r="A2" s="7" t="s">
        <v>11</v>
      </c>
      <c r="B2" s="2">
        <v>16623008</v>
      </c>
      <c r="D2" s="2">
        <v>16755895</v>
      </c>
      <c r="F2" s="2">
        <v>16529561</v>
      </c>
    </row>
    <row r="3" spans="1:15" x14ac:dyDescent="0.25">
      <c r="A3" s="9">
        <v>0.9</v>
      </c>
      <c r="B3" s="2">
        <f>B$2*$A3</f>
        <v>14960707.200000001</v>
      </c>
      <c r="D3" s="2">
        <f>D$2*$A3</f>
        <v>15080305.5</v>
      </c>
      <c r="F3" s="2">
        <f>F$2*$A3</f>
        <v>14876604.9</v>
      </c>
    </row>
    <row r="4" spans="1:15" x14ac:dyDescent="0.25">
      <c r="A4" s="10">
        <v>0.1</v>
      </c>
      <c r="B4" s="2">
        <f>B$2*$A4</f>
        <v>1662300.8</v>
      </c>
      <c r="D4" s="2">
        <f>D$2*$A4</f>
        <v>1675589.5</v>
      </c>
      <c r="F4" s="2">
        <f>F$2*$A4</f>
        <v>1652956.1</v>
      </c>
    </row>
    <row r="5" spans="1:15" x14ac:dyDescent="0.25">
      <c r="A5" s="7" t="s">
        <v>12</v>
      </c>
      <c r="B5" s="11">
        <f>SUM(NUOVI!D2:D5)</f>
        <v>160352.79999999999</v>
      </c>
      <c r="C5" s="12"/>
      <c r="D5" s="11">
        <f>SUM(NUOVI!E2:E5)</f>
        <v>561234.79999999993</v>
      </c>
      <c r="F5" s="11">
        <f>SUM(NUOVI!F2:F5)</f>
        <v>641411.19999999995</v>
      </c>
    </row>
    <row r="6" spans="1:15" x14ac:dyDescent="0.25">
      <c r="A6" s="7" t="s">
        <v>13</v>
      </c>
      <c r="B6" s="11">
        <v>400000</v>
      </c>
      <c r="C6" s="12"/>
      <c r="D6" s="11">
        <v>150000</v>
      </c>
      <c r="F6" s="11">
        <f>750000-F5</f>
        <v>108588.80000000005</v>
      </c>
      <c r="O6" s="8"/>
    </row>
    <row r="7" spans="1:15" x14ac:dyDescent="0.25">
      <c r="A7" s="7" t="s">
        <v>14</v>
      </c>
      <c r="B7" s="6">
        <f>B4-B5-B6</f>
        <v>1101948</v>
      </c>
      <c r="C7" s="12"/>
      <c r="D7" s="6">
        <f>D4-D5-D6</f>
        <v>964354.70000000019</v>
      </c>
      <c r="F7" s="11">
        <f>F4-F5-F6</f>
        <v>902956.10000000009</v>
      </c>
      <c r="H7" s="13"/>
    </row>
    <row r="8" spans="1:15" x14ac:dyDescent="0.25">
      <c r="A8" s="7" t="s">
        <v>15</v>
      </c>
      <c r="B8" s="11">
        <f>B3+B7</f>
        <v>16062655.200000001</v>
      </c>
      <c r="D8" s="11">
        <f>D3+D7</f>
        <v>16044660.199999999</v>
      </c>
      <c r="F8" s="11">
        <f>F3+F7</f>
        <v>15779561</v>
      </c>
    </row>
    <row r="9" spans="1:15" x14ac:dyDescent="0.25">
      <c r="A9" s="7" t="s">
        <v>16</v>
      </c>
      <c r="B9" s="14">
        <f>SUM('04 - TOTALE'!E2:E22)</f>
        <v>16047560.002207236</v>
      </c>
      <c r="D9" s="14">
        <f>SUM('04 - TOTALE'!F2:F22)</f>
        <v>16022299.577346236</v>
      </c>
      <c r="F9" s="14">
        <f>SUM('04 - TOTALE'!G2:G22)</f>
        <v>15762679.108879106</v>
      </c>
    </row>
    <row r="10" spans="1:15" x14ac:dyDescent="0.25">
      <c r="A10" s="7" t="s">
        <v>17</v>
      </c>
      <c r="B10" s="15">
        <f>B8-B9+B6</f>
        <v>415095.19779276475</v>
      </c>
      <c r="C10" s="8"/>
      <c r="D10" s="15">
        <f>D8-D9+D6</f>
        <v>172360.62265376374</v>
      </c>
      <c r="E10" s="8"/>
      <c r="F10" s="15">
        <f>F8-F9+F6</f>
        <v>125470.69112089393</v>
      </c>
    </row>
    <row r="13" spans="1:15" x14ac:dyDescent="0.25">
      <c r="A13" s="32"/>
      <c r="B13" s="32"/>
      <c r="C13" s="33">
        <v>2024</v>
      </c>
      <c r="D13" s="33"/>
      <c r="E13" s="33">
        <v>2025</v>
      </c>
      <c r="F13" s="33"/>
      <c r="G13" s="33">
        <v>2026</v>
      </c>
      <c r="H13" s="33"/>
    </row>
    <row r="14" spans="1:15" x14ac:dyDescent="0.25">
      <c r="A14" s="34" t="s">
        <v>18</v>
      </c>
      <c r="B14" s="34"/>
      <c r="C14" s="7" t="s">
        <v>19</v>
      </c>
      <c r="D14" s="7" t="s">
        <v>20</v>
      </c>
      <c r="E14" s="7" t="s">
        <v>19</v>
      </c>
      <c r="F14" s="7" t="s">
        <v>20</v>
      </c>
      <c r="G14" s="7" t="s">
        <v>19</v>
      </c>
      <c r="H14" s="7" t="s">
        <v>20</v>
      </c>
    </row>
    <row r="15" spans="1:15" x14ac:dyDescent="0.25">
      <c r="A15" s="31" t="s">
        <v>21</v>
      </c>
      <c r="B15" s="31"/>
      <c r="C15" s="16">
        <v>0.7</v>
      </c>
      <c r="D15" s="17">
        <f>B$8*C15</f>
        <v>11243858.640000001</v>
      </c>
      <c r="E15" s="16">
        <f>C15-0.025</f>
        <v>0.67499999999999993</v>
      </c>
      <c r="F15" s="17">
        <f>D$8*E15</f>
        <v>10830145.634999998</v>
      </c>
      <c r="G15" s="16">
        <f>E15-0.025</f>
        <v>0.64999999999999991</v>
      </c>
      <c r="H15" s="17">
        <f>F$8*G15</f>
        <v>10256714.649999999</v>
      </c>
    </row>
    <row r="16" spans="1:15" x14ac:dyDescent="0.25">
      <c r="A16" s="31" t="s">
        <v>22</v>
      </c>
      <c r="B16" s="31"/>
      <c r="C16" s="16">
        <v>0.25</v>
      </c>
      <c r="D16" s="17">
        <f>B$8*C16</f>
        <v>4015663.8000000003</v>
      </c>
      <c r="E16" s="16">
        <f>C16</f>
        <v>0.25</v>
      </c>
      <c r="F16" s="17">
        <f>D$8*E16</f>
        <v>4011165.05</v>
      </c>
      <c r="G16" s="16">
        <f>E16</f>
        <v>0.25</v>
      </c>
      <c r="H16" s="17">
        <f>F$8*G16</f>
        <v>3944890.25</v>
      </c>
    </row>
    <row r="17" spans="1:8" x14ac:dyDescent="0.25">
      <c r="A17" s="31" t="s">
        <v>23</v>
      </c>
      <c r="B17" s="31"/>
      <c r="C17" s="16">
        <v>0.05</v>
      </c>
      <c r="D17" s="17">
        <f>B$8*C17</f>
        <v>803132.76000000013</v>
      </c>
      <c r="E17" s="16">
        <f>C17+0.025</f>
        <v>7.5000000000000011E-2</v>
      </c>
      <c r="F17" s="17">
        <f>D$8*E17</f>
        <v>1203349.5150000001</v>
      </c>
      <c r="G17" s="16">
        <f>E17+0.025</f>
        <v>0.1</v>
      </c>
      <c r="H17" s="17">
        <f>F$8*G17</f>
        <v>1577956.1</v>
      </c>
    </row>
  </sheetData>
  <mergeCells count="8">
    <mergeCell ref="E13:F13"/>
    <mergeCell ref="G13:H13"/>
    <mergeCell ref="A14:B14"/>
    <mergeCell ref="A15:B15"/>
    <mergeCell ref="A16:B16"/>
    <mergeCell ref="A17:B17"/>
    <mergeCell ref="A13:B13"/>
    <mergeCell ref="C13:D1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2"/>
  <sheetViews>
    <sheetView topLeftCell="B4" zoomScale="85" zoomScaleNormal="85" workbookViewId="0">
      <selection activeCell="P12" sqref="P12"/>
    </sheetView>
  </sheetViews>
  <sheetFormatPr defaultColWidth="8.625" defaultRowHeight="15.75" x14ac:dyDescent="0.25"/>
  <cols>
    <col min="1" max="1" width="9.125" style="1" hidden="1" customWidth="1"/>
    <col min="2" max="2" width="43.375" style="1" customWidth="1"/>
    <col min="3" max="3" width="30.375" style="1" customWidth="1"/>
    <col min="5" max="5" width="18.5" style="1" customWidth="1"/>
    <col min="6" max="6" width="18" style="1" customWidth="1"/>
    <col min="7" max="7" width="18.125" style="1" customWidth="1"/>
    <col min="16382" max="16384" width="10.5" style="1" customWidth="1"/>
  </cols>
  <sheetData>
    <row r="1" spans="1:7" ht="54" x14ac:dyDescent="0.25">
      <c r="A1" s="1" t="s">
        <v>24</v>
      </c>
      <c r="B1" s="18" t="s">
        <v>25</v>
      </c>
      <c r="C1" s="18" t="s">
        <v>26</v>
      </c>
      <c r="D1" s="18" t="s">
        <v>19</v>
      </c>
      <c r="E1" s="18" t="s">
        <v>27</v>
      </c>
      <c r="F1" s="18" t="s">
        <v>28</v>
      </c>
      <c r="G1" s="18" t="s">
        <v>29</v>
      </c>
    </row>
    <row r="2" spans="1:7" x14ac:dyDescent="0.25">
      <c r="A2" s="1" t="e">
        <f>CONCATENATE(B2,#REF!)</f>
        <v>#REF!</v>
      </c>
      <c r="B2" s="19" t="s">
        <v>30</v>
      </c>
      <c r="C2" s="20">
        <v>722383.70799999998</v>
      </c>
      <c r="D2" s="21">
        <f t="shared" ref="D2:D22" si="0">C2/SUM(C$2:C$25)</f>
        <v>5.0671049375272413E-2</v>
      </c>
      <c r="E2" s="20">
        <f>'00-BUDGET'!D$15*D2</f>
        <v>569738.1163160234</v>
      </c>
      <c r="F2" s="20">
        <f>'00-BUDGET'!F$15*D2</f>
        <v>548774.84421247593</v>
      </c>
      <c r="G2" s="20">
        <f>'00-BUDGET'!H$15*D2</f>
        <v>519718.4944582298</v>
      </c>
    </row>
    <row r="3" spans="1:7" x14ac:dyDescent="0.25">
      <c r="A3" s="1" t="e">
        <f>CONCATENATE(B3,#REF!)</f>
        <v>#REF!</v>
      </c>
      <c r="B3" s="19" t="s">
        <v>31</v>
      </c>
      <c r="C3" s="20">
        <v>800637.625</v>
      </c>
      <c r="D3" s="21">
        <f t="shared" si="0"/>
        <v>5.6160110172467845E-2</v>
      </c>
      <c r="E3" s="20">
        <f>'00-BUDGET'!D$15*D3</f>
        <v>631456.33998605446</v>
      </c>
      <c r="F3" s="20">
        <f>'00-BUDGET'!F$15*D3</f>
        <v>608222.17204547161</v>
      </c>
      <c r="G3" s="20">
        <f>'00-BUDGET'!H$15*D3</f>
        <v>576018.22475156491</v>
      </c>
    </row>
    <row r="4" spans="1:7" x14ac:dyDescent="0.25">
      <c r="A4" s="1" t="e">
        <f>CONCATENATE(B4,#REF!)</f>
        <v>#REF!</v>
      </c>
      <c r="B4" s="19" t="s">
        <v>32</v>
      </c>
      <c r="C4" s="20">
        <v>1154353.32</v>
      </c>
      <c r="D4" s="21">
        <f t="shared" si="0"/>
        <v>8.0971225439416525E-2</v>
      </c>
      <c r="E4" s="20">
        <f>'00-BUDGET'!D$15*D4</f>
        <v>910429.01274837134</v>
      </c>
      <c r="F4" s="20">
        <f>'00-BUDGET'!F$15*D4</f>
        <v>876930.16375329765</v>
      </c>
      <c r="G4" s="20">
        <f>'00-BUDGET'!H$15*D4</f>
        <v>830498.75419291609</v>
      </c>
    </row>
    <row r="5" spans="1:7" ht="26.85" customHeight="1" x14ac:dyDescent="0.25">
      <c r="A5" s="1" t="e">
        <f>CONCATENATE(B5,#REF!)</f>
        <v>#REF!</v>
      </c>
      <c r="B5" s="19" t="s">
        <v>33</v>
      </c>
      <c r="C5" s="20">
        <v>267576.40000000002</v>
      </c>
      <c r="D5" s="21">
        <f t="shared" si="0"/>
        <v>1.876894069717536E-2</v>
      </c>
      <c r="E5" s="20">
        <f>'00-BUDGET'!D$15*D5</f>
        <v>211035.31602158281</v>
      </c>
      <c r="F5" s="20">
        <f>'00-BUDGET'!F$15*D5</f>
        <v>203270.36116508755</v>
      </c>
      <c r="G5" s="20">
        <f>'00-BUDGET'!H$15*D5</f>
        <v>192507.66901369969</v>
      </c>
    </row>
    <row r="6" spans="1:7" x14ac:dyDescent="0.25">
      <c r="A6" s="1" t="e">
        <f>CONCATENATE(B6,#REF!)</f>
        <v>#REF!</v>
      </c>
      <c r="B6" s="19" t="s">
        <v>34</v>
      </c>
      <c r="C6" s="20">
        <v>337872.43099999998</v>
      </c>
      <c r="D6" s="21">
        <f t="shared" si="0"/>
        <v>2.3699801703922593E-2</v>
      </c>
      <c r="E6" s="20">
        <f>'00-BUDGET'!D$15*D6</f>
        <v>266477.22015493677</v>
      </c>
      <c r="F6" s="20">
        <f>'00-BUDGET'!F$15*D6</f>
        <v>256672.30397410278</v>
      </c>
      <c r="G6" s="20">
        <f>'00-BUDGET'!H$15*D6</f>
        <v>243082.1033387178</v>
      </c>
    </row>
    <row r="7" spans="1:7" x14ac:dyDescent="0.25">
      <c r="A7" s="1" t="e">
        <f>CONCATENATE(B7,#REF!)</f>
        <v>#REF!</v>
      </c>
      <c r="B7" s="19" t="s">
        <v>35</v>
      </c>
      <c r="C7" s="20">
        <v>419639.73499999999</v>
      </c>
      <c r="D7" s="21">
        <f t="shared" si="0"/>
        <v>2.9435306328934027E-2</v>
      </c>
      <c r="E7" s="20">
        <f>'00-BUDGET'!D$15*D7</f>
        <v>330966.42338763154</v>
      </c>
      <c r="F7" s="20">
        <f>'00-BUDGET'!F$15*D7</f>
        <v>318788.65435319266</v>
      </c>
      <c r="G7" s="20">
        <f>'00-BUDGET'!H$15*D7</f>
        <v>301909.53765121533</v>
      </c>
    </row>
    <row r="8" spans="1:7" ht="31.5" x14ac:dyDescent="0.25">
      <c r="A8" s="1" t="e">
        <f>CONCATENATE(B8,#REF!)</f>
        <v>#REF!</v>
      </c>
      <c r="B8" s="19" t="s">
        <v>36</v>
      </c>
      <c r="C8" s="20">
        <v>1099354.595</v>
      </c>
      <c r="D8" s="21">
        <f t="shared" si="0"/>
        <v>7.7113382191860855E-2</v>
      </c>
      <c r="E8" s="20">
        <f>'00-BUDGET'!D$15*D8</f>
        <v>867051.96861757687</v>
      </c>
      <c r="F8" s="20">
        <f>'00-BUDGET'!F$15*D8</f>
        <v>835149.1595452684</v>
      </c>
      <c r="G8" s="20">
        <f>'00-BUDGET'!H$15*D8</f>
        <v>790929.95683830825</v>
      </c>
    </row>
    <row r="9" spans="1:7" x14ac:dyDescent="0.25">
      <c r="B9" s="19" t="s">
        <v>37</v>
      </c>
      <c r="C9" s="20">
        <v>2502078.7779999999</v>
      </c>
      <c r="D9" s="21">
        <f t="shared" si="0"/>
        <v>0.17550639071286928</v>
      </c>
      <c r="E9" s="20">
        <f>'00-BUDGET'!D$15*D9</f>
        <v>1973369.0475921112</v>
      </c>
      <c r="F9" s="20">
        <f>'00-BUDGET'!F$15*D9</f>
        <v>1900759.7712935854</v>
      </c>
      <c r="G9" s="20">
        <f>'00-BUDGET'!H$15*D9</f>
        <v>1800118.96879331</v>
      </c>
    </row>
    <row r="10" spans="1:7" x14ac:dyDescent="0.25">
      <c r="B10" s="19" t="s">
        <v>38</v>
      </c>
      <c r="C10" s="20">
        <v>690762.67799999996</v>
      </c>
      <c r="D10" s="21">
        <f t="shared" si="0"/>
        <v>4.8453016556034234E-2</v>
      </c>
      <c r="E10" s="20">
        <f>'00-BUDGET'!D$15*D10</f>
        <v>544798.86883762863</v>
      </c>
      <c r="F10" s="20">
        <f>'00-BUDGET'!F$15*D10</f>
        <v>524753.2257569168</v>
      </c>
      <c r="G10" s="20">
        <f>'00-BUDGET'!H$15*D10</f>
        <v>496968.76474696881</v>
      </c>
    </row>
    <row r="11" spans="1:7" ht="31.5" x14ac:dyDescent="0.25">
      <c r="B11" s="19" t="s">
        <v>39</v>
      </c>
      <c r="C11" s="20">
        <v>777769.88500000001</v>
      </c>
      <c r="D11" s="21">
        <f t="shared" si="0"/>
        <v>5.4556070145251601E-2</v>
      </c>
      <c r="E11" s="20">
        <f>'00-BUDGET'!D$15*D11</f>
        <v>613420.74066713324</v>
      </c>
      <c r="F11" s="20">
        <f>'00-BUDGET'!F$15*D11</f>
        <v>590850.18494635029</v>
      </c>
      <c r="G11" s="20">
        <f>'00-BUDGET'!H$15*D11</f>
        <v>559566.04390522966</v>
      </c>
    </row>
    <row r="12" spans="1:7" ht="22.15" customHeight="1" x14ac:dyDescent="0.25">
      <c r="B12" s="19" t="s">
        <v>40</v>
      </c>
      <c r="C12" s="20">
        <v>1017143.17</v>
      </c>
      <c r="D12" s="21">
        <f t="shared" si="0"/>
        <v>7.1346725041023643E-2</v>
      </c>
      <c r="E12" s="20">
        <f>'00-BUDGET'!D$15*D12</f>
        <v>802212.4907882181</v>
      </c>
      <c r="F12" s="20">
        <f>'00-BUDGET'!F$15*D12</f>
        <v>772695.42277458729</v>
      </c>
      <c r="G12" s="20">
        <f>'00-BUDGET'!H$15*D12</f>
        <v>731782.99995778897</v>
      </c>
    </row>
    <row r="13" spans="1:7" ht="30.6" customHeight="1" x14ac:dyDescent="0.25">
      <c r="B13" s="19" t="s">
        <v>41</v>
      </c>
      <c r="C13" s="20">
        <v>797990.77</v>
      </c>
      <c r="D13" s="21">
        <f t="shared" si="0"/>
        <v>5.5974448565057691E-2</v>
      </c>
      <c r="E13" s="20">
        <f>'00-BUDGET'!D$15*D13</f>
        <v>629368.78711745958</v>
      </c>
      <c r="F13" s="20">
        <f>'00-BUDGET'!F$15*D13</f>
        <v>606211.42979839141</v>
      </c>
      <c r="G13" s="20">
        <f>'00-BUDGET'!H$15*D13</f>
        <v>574113.94662289857</v>
      </c>
    </row>
    <row r="14" spans="1:7" ht="31.5" x14ac:dyDescent="0.25">
      <c r="B14" s="19" t="s">
        <v>42</v>
      </c>
      <c r="C14" s="20">
        <v>1373109.69</v>
      </c>
      <c r="D14" s="21">
        <f t="shared" si="0"/>
        <v>9.6315722695749104E-2</v>
      </c>
      <c r="E14" s="20">
        <f>'00-BUDGET'!D$15*D14</f>
        <v>1082960.3708004428</v>
      </c>
      <c r="F14" s="20">
        <f>'00-BUDGET'!F$15*D14</f>
        <v>1043113.3037352373</v>
      </c>
      <c r="G14" s="20">
        <f>'00-BUDGET'!H$15*D14</f>
        <v>987882.88399882719</v>
      </c>
    </row>
    <row r="15" spans="1:7" ht="31.5" x14ac:dyDescent="0.25">
      <c r="B15" s="19" t="s">
        <v>43</v>
      </c>
      <c r="C15" s="20">
        <v>97705.68</v>
      </c>
      <c r="D15" s="21">
        <f t="shared" si="0"/>
        <v>6.853489746095667E-3</v>
      </c>
      <c r="E15" s="20">
        <f>'00-BUDGET'!D$15*D15</f>
        <v>77059.669895789179</v>
      </c>
      <c r="F15" s="20">
        <f>'00-BUDGET'!F$15*D15</f>
        <v>74224.292058195235</v>
      </c>
      <c r="G15" s="20">
        <f>'00-BUDGET'!H$15*D15</f>
        <v>70294.288682404193</v>
      </c>
    </row>
    <row r="16" spans="1:7" ht="31.5" x14ac:dyDescent="0.25">
      <c r="B16" s="19" t="s">
        <v>44</v>
      </c>
      <c r="C16" s="20">
        <v>751964.04599999997</v>
      </c>
      <c r="D16" s="21">
        <f t="shared" si="0"/>
        <v>5.2745939424336544E-2</v>
      </c>
      <c r="E16" s="20">
        <f>'00-BUDGET'!D$15*D16</f>
        <v>593067.88672124315</v>
      </c>
      <c r="F16" s="20">
        <f>'00-BUDGET'!F$15*D16</f>
        <v>571246.20562045276</v>
      </c>
      <c r="G16" s="20">
        <f>'00-BUDGET'!H$15*D16</f>
        <v>541000.04962160508</v>
      </c>
    </row>
    <row r="17" spans="2:10" ht="31.5" x14ac:dyDescent="0.25">
      <c r="B17" s="19" t="s">
        <v>45</v>
      </c>
      <c r="C17" s="20">
        <v>821097.9</v>
      </c>
      <c r="D17" s="21">
        <f t="shared" si="0"/>
        <v>5.7595280419630523E-2</v>
      </c>
      <c r="E17" s="20">
        <f>'00-BUDGET'!D$15*D17</f>
        <v>647593.19136948558</v>
      </c>
      <c r="F17" s="20">
        <f>'00-BUDGET'!F$15*D17</f>
        <v>623765.27483326232</v>
      </c>
      <c r="G17" s="20">
        <f>'00-BUDGET'!H$15*D17</f>
        <v>590738.35645088251</v>
      </c>
      <c r="H17" s="22"/>
      <c r="I17" s="22"/>
      <c r="J17" s="22"/>
    </row>
    <row r="18" spans="2:10" ht="31.5" x14ac:dyDescent="0.25">
      <c r="B18" s="19" t="s">
        <v>46</v>
      </c>
      <c r="C18" s="20">
        <v>423214.755</v>
      </c>
      <c r="D18" s="21">
        <f t="shared" si="0"/>
        <v>2.9686073356112869E-2</v>
      </c>
      <c r="E18" s="20">
        <f>'00-BUDGET'!D$15*D18</f>
        <v>333786.0123928035</v>
      </c>
      <c r="F18" s="20">
        <f>'00-BUDGET'!F$15*D18</f>
        <v>321504.49777799554</v>
      </c>
      <c r="G18" s="20">
        <f>'00-BUDGET'!H$15*D18</f>
        <v>304481.58349261747</v>
      </c>
    </row>
    <row r="19" spans="2:10" x14ac:dyDescent="0.25">
      <c r="B19" s="19" t="s">
        <v>47</v>
      </c>
      <c r="C19" s="20">
        <v>94559.28</v>
      </c>
      <c r="D19" s="21">
        <f t="shared" si="0"/>
        <v>6.6327879390245181E-3</v>
      </c>
      <c r="E19" s="20">
        <f>'00-BUDGET'!D$15*D19</f>
        <v>74578.129975488628</v>
      </c>
      <c r="F19" s="20">
        <f>'00-BUDGET'!F$15*D19</f>
        <v>71834.059345707021</v>
      </c>
      <c r="G19" s="20">
        <f>'00-BUDGET'!H$15*D19</f>
        <v>68030.613224536079</v>
      </c>
    </row>
    <row r="20" spans="2:10" x14ac:dyDescent="0.25">
      <c r="B20" s="19" t="s">
        <v>48</v>
      </c>
      <c r="C20" s="20">
        <v>12450</v>
      </c>
      <c r="D20" s="21">
        <f t="shared" si="0"/>
        <v>8.7329567061905774E-4</v>
      </c>
      <c r="E20" s="20">
        <f>'00-BUDGET'!D$15*D20</f>
        <v>9819.2130713646875</v>
      </c>
      <c r="F20" s="20">
        <f>'00-BUDGET'!F$15*D20</f>
        <v>9457.9192952193844</v>
      </c>
      <c r="G20" s="20">
        <f>'00-BUDGET'!H$15*D20</f>
        <v>8957.1444986200622</v>
      </c>
    </row>
    <row r="21" spans="2:10" x14ac:dyDescent="0.25">
      <c r="B21" s="19" t="s">
        <v>49</v>
      </c>
      <c r="C21" s="20">
        <v>94675.553</v>
      </c>
      <c r="D21" s="21">
        <f t="shared" si="0"/>
        <v>6.6409438191457944E-3</v>
      </c>
      <c r="E21" s="20">
        <f>'00-BUDGET'!D$15*D21</f>
        <v>74669.83353865704</v>
      </c>
      <c r="F21" s="20">
        <f>'00-BUDGET'!F$15*D21</f>
        <v>71922.388715202047</v>
      </c>
      <c r="G21" s="20">
        <f>'00-BUDGET'!H$15*D21</f>
        <v>68114.265759659611</v>
      </c>
    </row>
    <row r="22" spans="2:10" ht="31.5" x14ac:dyDescent="0.25">
      <c r="B22" s="19" t="s">
        <v>50</v>
      </c>
      <c r="C22" s="20">
        <v>0</v>
      </c>
      <c r="D22" s="21">
        <f t="shared" si="0"/>
        <v>0</v>
      </c>
      <c r="E22" s="20">
        <f>'00-BUDGET'!D$15*D22</f>
        <v>0</v>
      </c>
      <c r="F22" s="20">
        <f>'00-BUDGET'!F$15*D22</f>
        <v>0</v>
      </c>
      <c r="G22" s="20">
        <f>'00-BUDGET'!H$15*D22</f>
        <v>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22"/>
  <sheetViews>
    <sheetView topLeftCell="B1" zoomScale="85" zoomScaleNormal="85" workbookViewId="0">
      <selection activeCell="B1" sqref="B1"/>
    </sheetView>
  </sheetViews>
  <sheetFormatPr defaultColWidth="8.625" defaultRowHeight="15.75" x14ac:dyDescent="0.25"/>
  <cols>
    <col min="1" max="1" width="9.125" style="1" hidden="1" customWidth="1"/>
    <col min="2" max="2" width="43.375" style="1" customWidth="1"/>
    <col min="3" max="3" width="30.375" style="1" customWidth="1"/>
    <col min="5" max="7" width="18.5" style="1" customWidth="1"/>
    <col min="16380" max="16384" width="10.5" style="1" customWidth="1"/>
  </cols>
  <sheetData>
    <row r="1" spans="1:7" ht="54" x14ac:dyDescent="0.25">
      <c r="A1" s="1" t="s">
        <v>24</v>
      </c>
      <c r="B1" s="18" t="s">
        <v>25</v>
      </c>
      <c r="C1" s="18" t="s">
        <v>2</v>
      </c>
      <c r="D1" s="18" t="s">
        <v>19</v>
      </c>
      <c r="E1" s="18" t="s">
        <v>51</v>
      </c>
      <c r="F1" s="18" t="s">
        <v>52</v>
      </c>
      <c r="G1" s="18" t="s">
        <v>53</v>
      </c>
    </row>
    <row r="2" spans="1:7" x14ac:dyDescent="0.25">
      <c r="A2" s="1" t="e">
        <f>CONCATENATE(B2,#REF!)</f>
        <v>#REF!</v>
      </c>
      <c r="B2" s="19" t="s">
        <v>30</v>
      </c>
      <c r="C2" s="20">
        <v>1299400</v>
      </c>
      <c r="D2" s="21">
        <f t="shared" ref="D2:D22" si="0">C2/SUM(C$2:C$24)</f>
        <v>5.7861903798684756E-2</v>
      </c>
      <c r="E2" s="23">
        <f>'00-BUDGET'!D$16*D2</f>
        <v>232353.95248346089</v>
      </c>
      <c r="F2" s="23">
        <f>'00-BUDGET'!F$16*D2</f>
        <v>232093.64624374651</v>
      </c>
      <c r="G2" s="23">
        <f>'00-BUDGET'!H$16*D2</f>
        <v>228258.86014186946</v>
      </c>
    </row>
    <row r="3" spans="1:7" x14ac:dyDescent="0.25">
      <c r="A3" s="1" t="e">
        <f>CONCATENATE(B3,#REF!)</f>
        <v>#REF!</v>
      </c>
      <c r="B3" s="19" t="s">
        <v>31</v>
      </c>
      <c r="C3" s="20">
        <v>829280</v>
      </c>
      <c r="D3" s="21">
        <f t="shared" si="0"/>
        <v>3.6927597031070722E-2</v>
      </c>
      <c r="E3" s="23">
        <f>'00-BUDGET'!D$16*D3</f>
        <v>148288.81461865819</v>
      </c>
      <c r="F3" s="23">
        <f>'00-BUDGET'!F$16*D3</f>
        <v>148122.68659151465</v>
      </c>
      <c r="G3" s="23">
        <f>'00-BUDGET'!H$16*D3</f>
        <v>145675.31748379985</v>
      </c>
    </row>
    <row r="4" spans="1:7" x14ac:dyDescent="0.25">
      <c r="A4" s="1" t="e">
        <f>CONCATENATE(B4,#REF!)</f>
        <v>#REF!</v>
      </c>
      <c r="B4" s="19" t="s">
        <v>32</v>
      </c>
      <c r="C4" s="20">
        <v>1950560</v>
      </c>
      <c r="D4" s="21">
        <f t="shared" si="0"/>
        <v>8.6857869073081836E-2</v>
      </c>
      <c r="E4" s="23">
        <f>'00-BUDGET'!D$16*D4</f>
        <v>348792.00058191433</v>
      </c>
      <c r="F4" s="23">
        <f>'00-BUDGET'!F$16*D4</f>
        <v>348401.24874342175</v>
      </c>
      <c r="G4" s="23">
        <f>'00-BUDGET'!H$16*D4</f>
        <v>342644.76084217709</v>
      </c>
    </row>
    <row r="5" spans="1:7" ht="26.85" customHeight="1" x14ac:dyDescent="0.25">
      <c r="A5" s="1" t="e">
        <f>CONCATENATE(B5,#REF!)</f>
        <v>#REF!</v>
      </c>
      <c r="B5" s="19" t="s">
        <v>33</v>
      </c>
      <c r="C5" s="20">
        <v>365000</v>
      </c>
      <c r="D5" s="21">
        <f t="shared" si="0"/>
        <v>1.6253343763675494E-2</v>
      </c>
      <c r="E5" s="23">
        <f>'00-BUDGET'!D$16*D5</f>
        <v>65267.96418074744</v>
      </c>
      <c r="F5" s="23">
        <f>'00-BUDGET'!F$16*D5</f>
        <v>65194.8444504906</v>
      </c>
      <c r="G5" s="23">
        <f>'00-BUDGET'!H$16*D5</f>
        <v>64117.657343221763</v>
      </c>
    </row>
    <row r="6" spans="1:7" x14ac:dyDescent="0.25">
      <c r="A6" s="1" t="e">
        <f>CONCATENATE(B6,#REF!)</f>
        <v>#REF!</v>
      </c>
      <c r="B6" s="19" t="s">
        <v>34</v>
      </c>
      <c r="C6" s="20">
        <v>429240</v>
      </c>
      <c r="D6" s="21">
        <f t="shared" si="0"/>
        <v>1.9113932266082382E-2</v>
      </c>
      <c r="E6" s="23">
        <f>'00-BUDGET'!D$16*D6</f>
        <v>76755.125876558988</v>
      </c>
      <c r="F6" s="23">
        <f>'00-BUDGET'!F$16*D6</f>
        <v>76669.137073776947</v>
      </c>
      <c r="G6" s="23">
        <f>'00-BUDGET'!H$16*D6</f>
        <v>75402.365035628798</v>
      </c>
    </row>
    <row r="7" spans="1:7" x14ac:dyDescent="0.25">
      <c r="A7" s="1" t="e">
        <f>CONCATENATE(B7,#REF!)</f>
        <v>#REF!</v>
      </c>
      <c r="B7" s="19" t="s">
        <v>35</v>
      </c>
      <c r="C7" s="20">
        <v>429240</v>
      </c>
      <c r="D7" s="21">
        <f t="shared" si="0"/>
        <v>1.9113932266082382E-2</v>
      </c>
      <c r="E7" s="23">
        <f>'00-BUDGET'!D$16*D7</f>
        <v>76755.125876558988</v>
      </c>
      <c r="F7" s="23">
        <f>'00-BUDGET'!F$16*D7</f>
        <v>76669.137073776947</v>
      </c>
      <c r="G7" s="23">
        <f>'00-BUDGET'!H$16*D7</f>
        <v>75402.365035628798</v>
      </c>
    </row>
    <row r="8" spans="1:7" ht="31.5" x14ac:dyDescent="0.25">
      <c r="A8" s="1" t="e">
        <f>CONCATENATE(B8,#REF!)</f>
        <v>#REF!</v>
      </c>
      <c r="B8" s="19" t="s">
        <v>36</v>
      </c>
      <c r="C8" s="20">
        <v>1223480</v>
      </c>
      <c r="D8" s="21">
        <f t="shared" si="0"/>
        <v>5.4481208295840258E-2</v>
      </c>
      <c r="E8" s="23">
        <f>'00-BUDGET'!D$16*D8</f>
        <v>218778.21593386543</v>
      </c>
      <c r="F8" s="23">
        <f>'00-BUDGET'!F$16*D8</f>
        <v>218533.1185980445</v>
      </c>
      <c r="G8" s="23">
        <f>'00-BUDGET'!H$16*D8</f>
        <v>214922.38741447934</v>
      </c>
    </row>
    <row r="9" spans="1:7" x14ac:dyDescent="0.25">
      <c r="B9" s="19" t="s">
        <v>37</v>
      </c>
      <c r="C9" s="20">
        <v>3209080</v>
      </c>
      <c r="D9" s="21">
        <f t="shared" si="0"/>
        <v>0.14289939837023494</v>
      </c>
      <c r="E9" s="23">
        <f>'00-BUDGET'!D$16*D9</f>
        <v>573835.94107713143</v>
      </c>
      <c r="F9" s="23">
        <f>'00-BUDGET'!F$16*D9</f>
        <v>573193.07240871328</v>
      </c>
      <c r="G9" s="23">
        <f>'00-BUDGET'!H$16*D9</f>
        <v>563722.44336160575</v>
      </c>
    </row>
    <row r="10" spans="1:7" x14ac:dyDescent="0.25">
      <c r="B10" s="19" t="s">
        <v>38</v>
      </c>
      <c r="C10" s="20">
        <v>751170</v>
      </c>
      <c r="D10" s="21">
        <f t="shared" si="0"/>
        <v>3.3449381465644169E-2</v>
      </c>
      <c r="E10" s="23">
        <f>'00-BUDGET'!D$16*D10</f>
        <v>134321.47028397824</v>
      </c>
      <c r="F10" s="23">
        <f>'00-BUDGET'!F$16*D10</f>
        <v>134170.98987910966</v>
      </c>
      <c r="G10" s="23">
        <f>'00-BUDGET'!H$16*D10</f>
        <v>131954.1388123504</v>
      </c>
    </row>
    <row r="11" spans="1:7" ht="31.5" x14ac:dyDescent="0.25">
      <c r="B11" s="19" t="s">
        <v>39</v>
      </c>
      <c r="C11" s="20">
        <v>1027919.4</v>
      </c>
      <c r="D11" s="21">
        <f t="shared" si="0"/>
        <v>4.5772951697400151E-2</v>
      </c>
      <c r="E11" s="23">
        <f>'00-BUDGET'!D$16*D11</f>
        <v>183808.78515039835</v>
      </c>
      <c r="F11" s="23">
        <f>'00-BUDGET'!F$16*D11</f>
        <v>183602.86408394965</v>
      </c>
      <c r="G11" s="23">
        <f>'00-BUDGET'!H$16*D11</f>
        <v>180569.27086479482</v>
      </c>
    </row>
    <row r="12" spans="1:7" x14ac:dyDescent="0.25">
      <c r="B12" s="19" t="s">
        <v>40</v>
      </c>
      <c r="C12" s="20">
        <v>1078575</v>
      </c>
      <c r="D12" s="21">
        <f t="shared" si="0"/>
        <v>4.8028630821661082E-2</v>
      </c>
      <c r="E12" s="23">
        <f>'00-BUDGET'!D$16*D12</f>
        <v>192866.83415410868</v>
      </c>
      <c r="F12" s="23">
        <f>'00-BUDGET'!F$16*D12</f>
        <v>192650.76535119972</v>
      </c>
      <c r="G12" s="23">
        <f>'00-BUDGET'!H$16*D12</f>
        <v>189467.6774492203</v>
      </c>
    </row>
    <row r="13" spans="1:7" x14ac:dyDescent="0.25">
      <c r="B13" s="19" t="s">
        <v>41</v>
      </c>
      <c r="C13" s="20">
        <v>1870211.25</v>
      </c>
      <c r="D13" s="21">
        <f t="shared" si="0"/>
        <v>8.3279962621762335E-2</v>
      </c>
      <c r="E13" s="23">
        <f>'00-BUDGET'!D$16*D13</f>
        <v>334424.33116556413</v>
      </c>
      <c r="F13" s="23">
        <f>'00-BUDGET'!F$16*D13</f>
        <v>334049.67543371941</v>
      </c>
      <c r="G13" s="23">
        <f>'00-BUDGET'!H$16*D13</f>
        <v>328530.3125669547</v>
      </c>
    </row>
    <row r="14" spans="1:7" ht="31.5" x14ac:dyDescent="0.25">
      <c r="B14" s="19" t="s">
        <v>42</v>
      </c>
      <c r="C14" s="20">
        <v>1515845</v>
      </c>
      <c r="D14" s="21">
        <f t="shared" si="0"/>
        <v>6.7500136650544329E-2</v>
      </c>
      <c r="E14" s="23">
        <f>'00-BUDGET'!D$16*D14</f>
        <v>271057.85524264415</v>
      </c>
      <c r="F14" s="23">
        <f>'00-BUDGET'!F$16*D14</f>
        <v>270754.18900288746</v>
      </c>
      <c r="G14" s="23">
        <f>'00-BUDGET'!H$16*D14</f>
        <v>266280.63094639999</v>
      </c>
    </row>
    <row r="15" spans="1:7" ht="31.5" x14ac:dyDescent="0.25">
      <c r="B15" s="19" t="s">
        <v>43</v>
      </c>
      <c r="C15" s="20">
        <v>521220</v>
      </c>
      <c r="D15" s="21">
        <f t="shared" si="0"/>
        <v>2.3209774894528606E-2</v>
      </c>
      <c r="E15" s="23">
        <f>'00-BUDGET'!D$16*D15</f>
        <v>93202.652850107348</v>
      </c>
      <c r="F15" s="23">
        <f>'00-BUDGET'!F$16*D15</f>
        <v>93098.237875300576</v>
      </c>
      <c r="G15" s="23">
        <f>'00-BUDGET'!H$16*D15</f>
        <v>91560.014686120674</v>
      </c>
    </row>
    <row r="16" spans="1:7" ht="31.5" x14ac:dyDescent="0.25">
      <c r="B16" s="19" t="s">
        <v>44</v>
      </c>
      <c r="C16" s="20">
        <v>1073100</v>
      </c>
      <c r="D16" s="21">
        <f t="shared" si="0"/>
        <v>4.7784830665205953E-2</v>
      </c>
      <c r="E16" s="23">
        <f>'00-BUDGET'!D$16*D16</f>
        <v>191887.81469139748</v>
      </c>
      <c r="F16" s="23">
        <f>'00-BUDGET'!F$16*D16</f>
        <v>191672.84268444235</v>
      </c>
      <c r="G16" s="23">
        <f>'00-BUDGET'!H$16*D16</f>
        <v>188505.91258907199</v>
      </c>
    </row>
    <row r="17" spans="2:7" ht="31.5" x14ac:dyDescent="0.25">
      <c r="B17" s="19" t="s">
        <v>45</v>
      </c>
      <c r="C17" s="20">
        <v>1073100</v>
      </c>
      <c r="D17" s="21">
        <f t="shared" si="0"/>
        <v>4.7784830665205953E-2</v>
      </c>
      <c r="E17" s="23">
        <f>'00-BUDGET'!D$16*D17</f>
        <v>191887.81469139748</v>
      </c>
      <c r="F17" s="23">
        <f>'00-BUDGET'!F$16*D17</f>
        <v>191672.84268444235</v>
      </c>
      <c r="G17" s="23">
        <f>'00-BUDGET'!H$16*D17</f>
        <v>188505.91258907199</v>
      </c>
    </row>
    <row r="18" spans="2:7" ht="31.5" x14ac:dyDescent="0.25">
      <c r="B18" s="19" t="s">
        <v>46</v>
      </c>
      <c r="C18" s="20">
        <v>585825</v>
      </c>
      <c r="D18" s="21">
        <f t="shared" si="0"/>
        <v>2.6086616740699169E-2</v>
      </c>
      <c r="E18" s="23">
        <f>'00-BUDGET'!D$16*D18</f>
        <v>104755.08251009964</v>
      </c>
      <c r="F18" s="23">
        <f>'00-BUDGET'!F$16*D18</f>
        <v>104637.72534303741</v>
      </c>
      <c r="G18" s="23">
        <f>'00-BUDGET'!H$16*D18</f>
        <v>102908.84003587093</v>
      </c>
    </row>
    <row r="19" spans="2:7" x14ac:dyDescent="0.25">
      <c r="B19" s="19" t="s">
        <v>47</v>
      </c>
      <c r="C19" s="20">
        <v>763344.4</v>
      </c>
      <c r="D19" s="21">
        <f t="shared" si="0"/>
        <v>3.3991503954182496E-2</v>
      </c>
      <c r="E19" s="23">
        <f>'00-BUDGET'!D$16*D19</f>
        <v>136498.45193636752</v>
      </c>
      <c r="F19" s="23">
        <f>'00-BUDGET'!F$16*D19</f>
        <v>136345.53265795362</v>
      </c>
      <c r="G19" s="23">
        <f>'00-BUDGET'!H$16*D19</f>
        <v>134092.75253169099</v>
      </c>
    </row>
    <row r="20" spans="2:7" x14ac:dyDescent="0.25">
      <c r="B20" s="19" t="s">
        <v>48</v>
      </c>
      <c r="C20" s="20">
        <v>1964000</v>
      </c>
      <c r="D20" s="21">
        <f t="shared" si="0"/>
        <v>8.7456348361256625E-2</v>
      </c>
      <c r="E20" s="23">
        <f>'00-BUDGET'!D$16*D20</f>
        <v>351195.29219448759</v>
      </c>
      <c r="F20" s="23">
        <f>'00-BUDGET'!F$16*D20</f>
        <v>350801.84794729733</v>
      </c>
      <c r="G20" s="23">
        <f>'00-BUDGET'!H$16*D20</f>
        <v>345005.69595092471</v>
      </c>
    </row>
    <row r="21" spans="2:7" x14ac:dyDescent="0.25">
      <c r="B21" s="19" t="s">
        <v>49</v>
      </c>
      <c r="C21" s="20">
        <v>444767.45</v>
      </c>
      <c r="D21" s="21">
        <f t="shared" si="0"/>
        <v>1.9805365095187266E-2</v>
      </c>
      <c r="E21" s="23">
        <f>'00-BUDGET'!D$16*D21</f>
        <v>79531.687658527066</v>
      </c>
      <c r="F21" s="23">
        <f>'00-BUDGET'!F$16*D21</f>
        <v>79442.588272305074</v>
      </c>
      <c r="G21" s="23">
        <f>'00-BUDGET'!H$16*D21</f>
        <v>78129.99166169457</v>
      </c>
    </row>
    <row r="22" spans="2:7" ht="31.5" x14ac:dyDescent="0.25">
      <c r="B22" s="19" t="s">
        <v>50</v>
      </c>
      <c r="C22" s="20">
        <v>52560</v>
      </c>
      <c r="D22" s="21">
        <f t="shared" si="0"/>
        <v>2.340481501969271E-3</v>
      </c>
      <c r="E22" s="23">
        <f>'00-BUDGET'!D$16*D22</f>
        <v>9398.5868420276311</v>
      </c>
      <c r="F22" s="23">
        <f>'00-BUDGET'!F$16*D22</f>
        <v>9388.0576008706448</v>
      </c>
      <c r="G22" s="23">
        <f>'00-BUDGET'!H$16*D22</f>
        <v>9232.9426574239333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42"/>
  <sheetViews>
    <sheetView topLeftCell="G1" zoomScale="85" zoomScaleNormal="85" workbookViewId="0">
      <selection activeCell="J1" sqref="J1"/>
    </sheetView>
  </sheetViews>
  <sheetFormatPr defaultColWidth="8.625" defaultRowHeight="15.75" x14ac:dyDescent="0.25"/>
  <cols>
    <col min="1" max="1" width="9.125" style="1" hidden="1" customWidth="1"/>
    <col min="2" max="2" width="11.25" style="1" customWidth="1"/>
    <col min="3" max="3" width="66.25" style="1" customWidth="1"/>
    <col min="4" max="4" width="41.75" style="1" customWidth="1"/>
    <col min="5" max="5" width="35.625" style="1" customWidth="1"/>
    <col min="6" max="6" width="16.875" style="1" customWidth="1"/>
    <col min="7" max="7" width="23.75" style="1" customWidth="1"/>
    <col min="8" max="8" width="16.25" style="1" customWidth="1"/>
    <col min="9" max="9" width="13" customWidth="1"/>
    <col min="10" max="10" width="16" style="1" customWidth="1"/>
    <col min="11" max="11" width="12.5" style="1" customWidth="1"/>
    <col min="13" max="13" width="34.5" style="1" customWidth="1"/>
    <col min="14" max="14" width="39.25" style="1" customWidth="1"/>
    <col min="15" max="15" width="32.25" style="1" customWidth="1"/>
    <col min="16384" max="16384" width="10.5" style="1" customWidth="1"/>
  </cols>
  <sheetData>
    <row r="1" spans="1:15" ht="126" x14ac:dyDescent="0.25">
      <c r="A1" s="24" t="s">
        <v>24</v>
      </c>
      <c r="B1" s="18" t="s">
        <v>54</v>
      </c>
      <c r="C1" s="18" t="s">
        <v>108</v>
      </c>
      <c r="D1" s="18" t="s">
        <v>25</v>
      </c>
      <c r="E1" s="18" t="s">
        <v>55</v>
      </c>
      <c r="F1" s="18" t="s">
        <v>56</v>
      </c>
      <c r="G1" s="18" t="s">
        <v>107</v>
      </c>
      <c r="H1" s="25" t="s">
        <v>109</v>
      </c>
      <c r="I1" s="25" t="s">
        <v>110</v>
      </c>
      <c r="J1" s="25" t="s">
        <v>57</v>
      </c>
      <c r="K1" s="25" t="s">
        <v>58</v>
      </c>
      <c r="L1" s="25" t="s">
        <v>59</v>
      </c>
      <c r="M1" s="25" t="s">
        <v>60</v>
      </c>
      <c r="N1" s="18" t="s">
        <v>61</v>
      </c>
      <c r="O1" s="18" t="s">
        <v>62</v>
      </c>
    </row>
    <row r="2" spans="1:15" ht="31.5" x14ac:dyDescent="0.25">
      <c r="A2" s="26" t="str">
        <f t="shared" ref="A2:A16" si="0">CONCATENATE(D2,E2)</f>
        <v>LO SPECCHIO - Domusnovas
SRP2 minori</v>
      </c>
      <c r="B2" s="11" t="s">
        <v>63</v>
      </c>
      <c r="C2" s="11" t="s">
        <v>43</v>
      </c>
      <c r="D2" s="11" t="s">
        <v>64</v>
      </c>
      <c r="E2" s="27" t="s">
        <v>65</v>
      </c>
      <c r="F2" s="11">
        <v>7.5018914422396707E-2</v>
      </c>
      <c r="G2" s="11" t="str">
        <f>CONCATENATE(B2,E2)</f>
        <v>SULCIS
SRP2 minori</v>
      </c>
      <c r="H2" s="28">
        <f t="shared" ref="H2:H42" si="1">COUNTIF(G$2:G$42,G2)</f>
        <v>1</v>
      </c>
      <c r="I2" s="28">
        <f t="shared" ref="I2:I42" si="2">COUNTIF(E$2:E$42,E2)</f>
        <v>2</v>
      </c>
      <c r="J2" s="11">
        <f t="shared" ref="J2:J42" si="3">IF(1-(H2/I2)=0,1,1-(H2/I2))</f>
        <v>0.5</v>
      </c>
      <c r="K2" s="11">
        <f t="shared" ref="K2:K42" si="4">AVERAGE(J2,F2)</f>
        <v>0.28750945721119836</v>
      </c>
      <c r="L2" s="29">
        <f t="shared" ref="L2:L42" si="5">K2/SUM(K$2:K$42)</f>
        <v>1.5431827081118883E-2</v>
      </c>
      <c r="M2" s="11">
        <f>'00-BUDGET'!D$17*L2</f>
        <v>12393.805875501754</v>
      </c>
      <c r="N2" s="11">
        <f>'00-BUDGET'!F$17*L2</f>
        <v>18569.881633628276</v>
      </c>
      <c r="O2" s="11">
        <f>'00-BUDGET'!H$17*L2</f>
        <v>24350.745676796738</v>
      </c>
    </row>
    <row r="3" spans="1:15" x14ac:dyDescent="0.25">
      <c r="A3" s="26" t="str">
        <f t="shared" si="0"/>
        <v>Emmaus SRP3SRP3 adulti</v>
      </c>
      <c r="B3" s="11" t="s">
        <v>63</v>
      </c>
      <c r="C3" s="11" t="s">
        <v>50</v>
      </c>
      <c r="D3" s="11" t="s">
        <v>66</v>
      </c>
      <c r="E3" s="11" t="s">
        <v>10</v>
      </c>
      <c r="F3" s="11">
        <v>7.5018914422396707E-2</v>
      </c>
      <c r="G3" s="11" t="str">
        <f t="shared" ref="G3:G42" si="6">CONCATENATE(B3,E3)</f>
        <v>SULCISSRP3 adulti</v>
      </c>
      <c r="H3" s="28">
        <f t="shared" si="1"/>
        <v>1</v>
      </c>
      <c r="I3" s="28">
        <f t="shared" si="2"/>
        <v>2</v>
      </c>
      <c r="J3" s="11">
        <f t="shared" si="3"/>
        <v>0.5</v>
      </c>
      <c r="K3" s="11">
        <f t="shared" si="4"/>
        <v>0.28750945721119836</v>
      </c>
      <c r="L3" s="29">
        <f t="shared" si="5"/>
        <v>1.5431827081118883E-2</v>
      </c>
      <c r="M3" s="11">
        <f>'00-BUDGET'!D$17*L3</f>
        <v>12393.805875501754</v>
      </c>
      <c r="N3" s="11">
        <f>'00-BUDGET'!F$17*L3</f>
        <v>18569.881633628276</v>
      </c>
      <c r="O3" s="11">
        <f>'00-BUDGET'!H$17*L3</f>
        <v>24350.745676796738</v>
      </c>
    </row>
    <row r="4" spans="1:15" x14ac:dyDescent="0.25">
      <c r="A4" s="26" t="str">
        <f t="shared" si="0"/>
        <v>COMUNITA' TERAPEUTICA SAN MICHELE  SRP2 adulti</v>
      </c>
      <c r="B4" s="11" t="s">
        <v>67</v>
      </c>
      <c r="C4" s="11" t="s">
        <v>40</v>
      </c>
      <c r="D4" s="11" t="s">
        <v>68</v>
      </c>
      <c r="E4" s="11" t="s">
        <v>6</v>
      </c>
      <c r="F4" s="11">
        <v>5.8371702890174099E-2</v>
      </c>
      <c r="G4" s="11" t="str">
        <f t="shared" si="6"/>
        <v>MEDIO CAMPIDANOSRP2 adulti</v>
      </c>
      <c r="H4" s="28">
        <f t="shared" si="1"/>
        <v>1</v>
      </c>
      <c r="I4" s="28">
        <f t="shared" si="2"/>
        <v>11</v>
      </c>
      <c r="J4" s="11">
        <f t="shared" si="3"/>
        <v>0.90909090909090906</v>
      </c>
      <c r="K4" s="11">
        <f t="shared" si="4"/>
        <v>0.48373130599054159</v>
      </c>
      <c r="L4" s="29">
        <f t="shared" si="5"/>
        <v>2.5963868946009376E-2</v>
      </c>
      <c r="M4" s="11">
        <f>'00-BUDGET'!D$17*L4</f>
        <v>20852.433726886804</v>
      </c>
      <c r="N4" s="11">
        <f>'00-BUDGET'!F$17*L4</f>
        <v>31243.609103703948</v>
      </c>
      <c r="O4" s="11">
        <f>'00-BUDGET'!H$17*L4</f>
        <v>40969.845382956068</v>
      </c>
    </row>
    <row r="5" spans="1:15" x14ac:dyDescent="0.25">
      <c r="A5" s="26" t="str">
        <f t="shared" si="0"/>
        <v>COMUNITA' BETANIASRP1 adulti</v>
      </c>
      <c r="B5" s="11" t="s">
        <v>67</v>
      </c>
      <c r="C5" s="11" t="s">
        <v>40</v>
      </c>
      <c r="D5" s="11" t="s">
        <v>69</v>
      </c>
      <c r="E5" s="11" t="s">
        <v>4</v>
      </c>
      <c r="F5" s="11">
        <v>5.8371702890174099E-2</v>
      </c>
      <c r="G5" s="11" t="str">
        <f t="shared" si="6"/>
        <v>MEDIO CAMPIDANOSRP1 adulti</v>
      </c>
      <c r="H5" s="28">
        <f t="shared" si="1"/>
        <v>1</v>
      </c>
      <c r="I5" s="28">
        <f t="shared" si="2"/>
        <v>14</v>
      </c>
      <c r="J5" s="11">
        <f t="shared" si="3"/>
        <v>0.9285714285714286</v>
      </c>
      <c r="K5" s="11">
        <f t="shared" si="4"/>
        <v>0.49347156573080136</v>
      </c>
      <c r="L5" s="29">
        <f t="shared" si="5"/>
        <v>2.648666915402639E-2</v>
      </c>
      <c r="M5" s="11">
        <f>'00-BUDGET'!D$17*L5</f>
        <v>21272.311700880084</v>
      </c>
      <c r="N5" s="11">
        <f>'00-BUDGET'!F$17*L5</f>
        <v>31872.720480463118</v>
      </c>
      <c r="O5" s="11">
        <f>'00-BUDGET'!H$17*L5</f>
        <v>41794.801160277784</v>
      </c>
    </row>
    <row r="6" spans="1:15" x14ac:dyDescent="0.25">
      <c r="A6" s="26" t="str">
        <f t="shared" si="0"/>
        <v>ANTES - In cima (Ussassai)SRP2 adulti</v>
      </c>
      <c r="B6" s="11" t="s">
        <v>70</v>
      </c>
      <c r="C6" s="11" t="s">
        <v>37</v>
      </c>
      <c r="D6" s="11" t="s">
        <v>71</v>
      </c>
      <c r="E6" s="11" t="s">
        <v>6</v>
      </c>
      <c r="F6" s="11">
        <v>3.4539845648234001E-2</v>
      </c>
      <c r="G6" s="11" t="str">
        <f t="shared" si="6"/>
        <v>OGLIASTRASRP2 adulti</v>
      </c>
      <c r="H6" s="28">
        <f t="shared" si="1"/>
        <v>3</v>
      </c>
      <c r="I6" s="28">
        <f t="shared" si="2"/>
        <v>11</v>
      </c>
      <c r="J6" s="11">
        <f t="shared" si="3"/>
        <v>0.72727272727272729</v>
      </c>
      <c r="K6" s="11">
        <f t="shared" si="4"/>
        <v>0.38090628646048064</v>
      </c>
      <c r="L6" s="29">
        <f t="shared" si="5"/>
        <v>2.0444822941776693E-2</v>
      </c>
      <c r="M6" s="11">
        <f>'00-BUDGET'!D$17*L6</f>
        <v>16419.907076940439</v>
      </c>
      <c r="N6" s="11">
        <f>'00-BUDGET'!F$17*L6</f>
        <v>24602.267771247858</v>
      </c>
      <c r="O6" s="11">
        <f>'00-BUDGET'!H$17*L6</f>
        <v>32261.033074396481</v>
      </c>
    </row>
    <row r="7" spans="1:15" x14ac:dyDescent="0.25">
      <c r="A7" s="26" t="str">
        <f t="shared" si="0"/>
        <v>ANTES - Ahora (Arzana)SRP1 adulti</v>
      </c>
      <c r="B7" s="11" t="s">
        <v>70</v>
      </c>
      <c r="C7" s="11" t="s">
        <v>37</v>
      </c>
      <c r="D7" s="11" t="s">
        <v>72</v>
      </c>
      <c r="E7" s="11" t="s">
        <v>4</v>
      </c>
      <c r="F7" s="11">
        <v>3.4539845648234001E-2</v>
      </c>
      <c r="G7" s="11" t="str">
        <f t="shared" si="6"/>
        <v>OGLIASTRASRP1 adulti</v>
      </c>
      <c r="H7" s="28">
        <f t="shared" si="1"/>
        <v>3</v>
      </c>
      <c r="I7" s="28">
        <f t="shared" si="2"/>
        <v>14</v>
      </c>
      <c r="J7" s="11">
        <f t="shared" si="3"/>
        <v>0.7857142857142857</v>
      </c>
      <c r="K7" s="11">
        <f t="shared" si="4"/>
        <v>0.41012706568125984</v>
      </c>
      <c r="L7" s="29">
        <f t="shared" si="5"/>
        <v>2.201322356582772E-2</v>
      </c>
      <c r="M7" s="11">
        <f>'00-BUDGET'!D$17*L7</f>
        <v>17679.54099892026</v>
      </c>
      <c r="N7" s="11">
        <f>'00-BUDGET'!F$17*L7</f>
        <v>26489.601901525359</v>
      </c>
      <c r="O7" s="11">
        <f>'00-BUDGET'!H$17*L7</f>
        <v>34735.900406361601</v>
      </c>
    </row>
    <row r="8" spans="1:15" x14ac:dyDescent="0.25">
      <c r="A8" s="26" t="str">
        <f t="shared" si="0"/>
        <v>ANTES - STRUTTURA AHORA B - S.P. 23 ARZANA SRP1 adulti</v>
      </c>
      <c r="B8" s="11" t="s">
        <v>70</v>
      </c>
      <c r="C8" s="11" t="s">
        <v>37</v>
      </c>
      <c r="D8" s="11" t="s">
        <v>73</v>
      </c>
      <c r="E8" s="11" t="s">
        <v>4</v>
      </c>
      <c r="F8" s="11">
        <v>3.4539845648234001E-2</v>
      </c>
      <c r="G8" s="11" t="str">
        <f t="shared" si="6"/>
        <v>OGLIASTRASRP1 adulti</v>
      </c>
      <c r="H8" s="28">
        <f t="shared" si="1"/>
        <v>3</v>
      </c>
      <c r="I8" s="28">
        <f t="shared" si="2"/>
        <v>14</v>
      </c>
      <c r="J8" s="11">
        <f t="shared" si="3"/>
        <v>0.7857142857142857</v>
      </c>
      <c r="K8" s="11">
        <f t="shared" si="4"/>
        <v>0.41012706568125984</v>
      </c>
      <c r="L8" s="29">
        <f t="shared" si="5"/>
        <v>2.201322356582772E-2</v>
      </c>
      <c r="M8" s="11">
        <f>'00-BUDGET'!D$17*L8</f>
        <v>17679.54099892026</v>
      </c>
      <c r="N8" s="11">
        <f>'00-BUDGET'!F$17*L8</f>
        <v>26489.601901525359</v>
      </c>
      <c r="O8" s="11">
        <f>'00-BUDGET'!H$17*L8</f>
        <v>34735.900406361601</v>
      </c>
    </row>
    <row r="9" spans="1:15" x14ac:dyDescent="0.25">
      <c r="A9" s="26" t="str">
        <f t="shared" si="0"/>
        <v>ANTES - STRUTTURA AHORA B - S.P. 23 ARZANA SRP2 adulti</v>
      </c>
      <c r="B9" s="11" t="s">
        <v>70</v>
      </c>
      <c r="C9" s="11" t="s">
        <v>37</v>
      </c>
      <c r="D9" s="11" t="s">
        <v>73</v>
      </c>
      <c r="E9" s="11" t="s">
        <v>6</v>
      </c>
      <c r="F9" s="11">
        <v>3.4539845648234001E-2</v>
      </c>
      <c r="G9" s="11" t="str">
        <f t="shared" si="6"/>
        <v>OGLIASTRASRP2 adulti</v>
      </c>
      <c r="H9" s="28">
        <f t="shared" si="1"/>
        <v>3</v>
      </c>
      <c r="I9" s="28">
        <f t="shared" si="2"/>
        <v>11</v>
      </c>
      <c r="J9" s="11">
        <f t="shared" si="3"/>
        <v>0.72727272727272729</v>
      </c>
      <c r="K9" s="11">
        <f t="shared" si="4"/>
        <v>0.38090628646048064</v>
      </c>
      <c r="L9" s="29">
        <f t="shared" si="5"/>
        <v>2.0444822941776693E-2</v>
      </c>
      <c r="M9" s="11">
        <f>'00-BUDGET'!D$17*L9</f>
        <v>16419.907076940439</v>
      </c>
      <c r="N9" s="11">
        <f>'00-BUDGET'!F$17*L9</f>
        <v>24602.267771247858</v>
      </c>
      <c r="O9" s="11">
        <f>'00-BUDGET'!H$17*L9</f>
        <v>32261.033074396481</v>
      </c>
    </row>
    <row r="10" spans="1:15" x14ac:dyDescent="0.25">
      <c r="A10" s="26" t="str">
        <f t="shared" si="0"/>
        <v>ANTES - ANDALA (Gairo)SRP1 adulti</v>
      </c>
      <c r="B10" s="11" t="s">
        <v>70</v>
      </c>
      <c r="C10" s="11" t="s">
        <v>37</v>
      </c>
      <c r="D10" s="11" t="s">
        <v>74</v>
      </c>
      <c r="E10" s="11" t="s">
        <v>4</v>
      </c>
      <c r="F10" s="11">
        <v>3.4539845648234001E-2</v>
      </c>
      <c r="G10" s="11" t="str">
        <f t="shared" si="6"/>
        <v>OGLIASTRASRP1 adulti</v>
      </c>
      <c r="H10" s="28">
        <f t="shared" si="1"/>
        <v>3</v>
      </c>
      <c r="I10" s="28">
        <f t="shared" si="2"/>
        <v>14</v>
      </c>
      <c r="J10" s="11">
        <f t="shared" si="3"/>
        <v>0.7857142857142857</v>
      </c>
      <c r="K10" s="11">
        <f t="shared" si="4"/>
        <v>0.41012706568125984</v>
      </c>
      <c r="L10" s="29">
        <f t="shared" si="5"/>
        <v>2.201322356582772E-2</v>
      </c>
      <c r="M10" s="11">
        <f>'00-BUDGET'!D$17*L10</f>
        <v>17679.54099892026</v>
      </c>
      <c r="N10" s="11">
        <f>'00-BUDGET'!F$17*L10</f>
        <v>26489.601901525359</v>
      </c>
      <c r="O10" s="11">
        <f>'00-BUDGET'!H$17*L10</f>
        <v>34735.900406361601</v>
      </c>
    </row>
    <row r="11" spans="1:15" x14ac:dyDescent="0.25">
      <c r="A11" s="26" t="str">
        <f t="shared" si="0"/>
        <v>ANTES - ANDALA (Gairo)SRP2 adulti</v>
      </c>
      <c r="B11" s="11" t="s">
        <v>70</v>
      </c>
      <c r="C11" s="11" t="s">
        <v>37</v>
      </c>
      <c r="D11" s="11" t="s">
        <v>74</v>
      </c>
      <c r="E11" s="11" t="s">
        <v>6</v>
      </c>
      <c r="F11" s="11">
        <v>3.4539845648234001E-2</v>
      </c>
      <c r="G11" s="11" t="str">
        <f t="shared" si="6"/>
        <v>OGLIASTRASRP2 adulti</v>
      </c>
      <c r="H11" s="28">
        <f t="shared" si="1"/>
        <v>3</v>
      </c>
      <c r="I11" s="28">
        <f t="shared" si="2"/>
        <v>11</v>
      </c>
      <c r="J11" s="11">
        <f t="shared" si="3"/>
        <v>0.72727272727272729</v>
      </c>
      <c r="K11" s="11">
        <f t="shared" si="4"/>
        <v>0.38090628646048064</v>
      </c>
      <c r="L11" s="29">
        <f t="shared" si="5"/>
        <v>2.0444822941776693E-2</v>
      </c>
      <c r="M11" s="11">
        <f>'00-BUDGET'!D$17*L11</f>
        <v>16419.907076940439</v>
      </c>
      <c r="N11" s="11">
        <f>'00-BUDGET'!F$17*L11</f>
        <v>24602.267771247858</v>
      </c>
      <c r="O11" s="11">
        <f>'00-BUDGET'!H$17*L11</f>
        <v>32261.033074396481</v>
      </c>
    </row>
    <row r="12" spans="1:15" x14ac:dyDescent="0.25">
      <c r="A12" s="26" t="str">
        <f t="shared" si="0"/>
        <v>APPRODI SRP1 adulti</v>
      </c>
      <c r="B12" s="11" t="s">
        <v>75</v>
      </c>
      <c r="C12" s="11" t="s">
        <v>34</v>
      </c>
      <c r="D12" s="11" t="s">
        <v>76</v>
      </c>
      <c r="E12" s="11" t="s">
        <v>4</v>
      </c>
      <c r="F12" s="11">
        <v>9.2430262319887796E-2</v>
      </c>
      <c r="G12" s="11" t="str">
        <f t="shared" si="6"/>
        <v>NUOROSRP1 adulti</v>
      </c>
      <c r="H12" s="28">
        <f t="shared" si="1"/>
        <v>1</v>
      </c>
      <c r="I12" s="28">
        <f t="shared" si="2"/>
        <v>14</v>
      </c>
      <c r="J12" s="11">
        <f t="shared" si="3"/>
        <v>0.9285714285714286</v>
      </c>
      <c r="K12" s="11">
        <f t="shared" si="4"/>
        <v>0.51050084544565821</v>
      </c>
      <c r="L12" s="29">
        <f t="shared" si="5"/>
        <v>2.7400701347696576E-2</v>
      </c>
      <c r="M12" s="11">
        <f>'00-BUDGET'!D$17*L12</f>
        <v>22006.400899311273</v>
      </c>
      <c r="N12" s="11">
        <f>'00-BUDGET'!F$17*L12</f>
        <v>32972.620677410523</v>
      </c>
      <c r="O12" s="11">
        <f>'00-BUDGET'!H$17*L12</f>
        <v>43237.103835876034</v>
      </c>
    </row>
    <row r="13" spans="1:15" ht="31.5" x14ac:dyDescent="0.25">
      <c r="A13" s="26" t="str">
        <f t="shared" si="0"/>
        <v>CODESS SOCIALE 
SRP1 adulti</v>
      </c>
      <c r="B13" s="11" t="s">
        <v>63</v>
      </c>
      <c r="C13" s="11" t="s">
        <v>36</v>
      </c>
      <c r="D13" s="27" t="s">
        <v>77</v>
      </c>
      <c r="E13" s="11" t="s">
        <v>4</v>
      </c>
      <c r="F13" s="11">
        <v>7.5018914422396707E-2</v>
      </c>
      <c r="G13" s="11" t="str">
        <f t="shared" si="6"/>
        <v>SULCISSRP1 adulti</v>
      </c>
      <c r="H13" s="28">
        <f t="shared" si="1"/>
        <v>1</v>
      </c>
      <c r="I13" s="28">
        <f t="shared" si="2"/>
        <v>14</v>
      </c>
      <c r="J13" s="11">
        <f t="shared" si="3"/>
        <v>0.9285714285714286</v>
      </c>
      <c r="K13" s="11">
        <f t="shared" si="4"/>
        <v>0.50179517149691266</v>
      </c>
      <c r="L13" s="29">
        <f t="shared" si="5"/>
        <v>2.6933431657493113E-2</v>
      </c>
      <c r="M13" s="11">
        <f>'00-BUDGET'!D$17*L13</f>
        <v>21631.121303353822</v>
      </c>
      <c r="N13" s="11">
        <f>'00-BUDGET'!F$17*L13</f>
        <v>32410.331922329988</v>
      </c>
      <c r="O13" s="11">
        <f>'00-BUDGET'!H$17*L13</f>
        <v>42499.772777874372</v>
      </c>
    </row>
    <row r="14" spans="1:15" ht="31.5" x14ac:dyDescent="0.25">
      <c r="A14" s="26" t="str">
        <f t="shared" si="0"/>
        <v>CODESS SOCIALE 
SRP2 adulti</v>
      </c>
      <c r="B14" s="11" t="s">
        <v>63</v>
      </c>
      <c r="C14" s="11" t="s">
        <v>36</v>
      </c>
      <c r="D14" s="27" t="s">
        <v>77</v>
      </c>
      <c r="E14" s="11" t="s">
        <v>6</v>
      </c>
      <c r="F14" s="11">
        <v>7.5018914422396707E-2</v>
      </c>
      <c r="G14" s="11" t="str">
        <f t="shared" si="6"/>
        <v>SULCISSRP2 adulti</v>
      </c>
      <c r="H14" s="28">
        <f t="shared" si="1"/>
        <v>1</v>
      </c>
      <c r="I14" s="28">
        <f t="shared" si="2"/>
        <v>11</v>
      </c>
      <c r="J14" s="11">
        <f t="shared" si="3"/>
        <v>0.90909090909090906</v>
      </c>
      <c r="K14" s="11">
        <f t="shared" si="4"/>
        <v>0.49205491175665289</v>
      </c>
      <c r="L14" s="29">
        <f t="shared" si="5"/>
        <v>2.6410631449476099E-2</v>
      </c>
      <c r="M14" s="11">
        <f>'00-BUDGET'!D$17*L14</f>
        <v>21211.243329360543</v>
      </c>
      <c r="N14" s="11">
        <f>'00-BUDGET'!F$17*L14</f>
        <v>31781.220545570814</v>
      </c>
      <c r="O14" s="11">
        <f>'00-BUDGET'!H$17*L14</f>
        <v>41674.817000552655</v>
      </c>
    </row>
    <row r="15" spans="1:15" x14ac:dyDescent="0.25">
      <c r="A15" s="26" t="str">
        <f t="shared" si="0"/>
        <v>COOP. SOCIALE CTR ONLUS - AsseminiSRP1 adulti</v>
      </c>
      <c r="B15" s="11" t="s">
        <v>78</v>
      </c>
      <c r="C15" s="11" t="s">
        <v>42</v>
      </c>
      <c r="D15" s="11" t="s">
        <v>79</v>
      </c>
      <c r="E15" s="11" t="s">
        <v>4</v>
      </c>
      <c r="F15" s="11">
        <v>0.34343362439390401</v>
      </c>
      <c r="G15" s="11" t="str">
        <f t="shared" si="6"/>
        <v>CAGLIARISRP1 adulti</v>
      </c>
      <c r="H15" s="28">
        <f t="shared" si="1"/>
        <v>4</v>
      </c>
      <c r="I15" s="28">
        <f t="shared" si="2"/>
        <v>14</v>
      </c>
      <c r="J15" s="11">
        <f t="shared" si="3"/>
        <v>0.7142857142857143</v>
      </c>
      <c r="K15" s="11">
        <f t="shared" si="4"/>
        <v>0.5288596693398091</v>
      </c>
      <c r="L15" s="29">
        <f t="shared" si="5"/>
        <v>2.8386095701313042E-2</v>
      </c>
      <c r="M15" s="11">
        <f>'00-BUDGET'!D$17*L15</f>
        <v>22797.803386219683</v>
      </c>
      <c r="N15" s="11">
        <f>'00-BUDGET'!F$17*L15</f>
        <v>34158.394494918641</v>
      </c>
      <c r="O15" s="11">
        <f>'00-BUDGET'!H$17*L15</f>
        <v>44792.012867070698</v>
      </c>
    </row>
    <row r="16" spans="1:15" x14ac:dyDescent="0.25">
      <c r="A16" s="26" t="str">
        <f t="shared" si="0"/>
        <v>COOP. SOCIALE CTR ONLUS - AsseminiSRP2 adulti</v>
      </c>
      <c r="B16" s="11" t="s">
        <v>78</v>
      </c>
      <c r="C16" s="11" t="s">
        <v>42</v>
      </c>
      <c r="D16" s="11" t="s">
        <v>79</v>
      </c>
      <c r="E16" s="11" t="s">
        <v>6</v>
      </c>
      <c r="F16" s="11">
        <v>0.34343362439390401</v>
      </c>
      <c r="G16" s="11" t="str">
        <f t="shared" si="6"/>
        <v>CAGLIARISRP2 adulti</v>
      </c>
      <c r="H16" s="28">
        <f t="shared" si="1"/>
        <v>2</v>
      </c>
      <c r="I16" s="28">
        <f t="shared" si="2"/>
        <v>11</v>
      </c>
      <c r="J16" s="11">
        <f t="shared" si="3"/>
        <v>0.81818181818181812</v>
      </c>
      <c r="K16" s="11">
        <f t="shared" si="4"/>
        <v>0.58080772128786107</v>
      </c>
      <c r="L16" s="29">
        <f t="shared" si="5"/>
        <v>3.1174363477403766E-2</v>
      </c>
      <c r="M16" s="11">
        <f>'00-BUDGET'!D$17*L16</f>
        <v>25037.152580850488</v>
      </c>
      <c r="N16" s="11">
        <f>'00-BUDGET'!F$17*L16</f>
        <v>37513.65517096754</v>
      </c>
      <c r="O16" s="11">
        <f>'00-BUDGET'!H$17*L16</f>
        <v>49191.777012786486</v>
      </c>
    </row>
    <row r="17" spans="1:15" x14ac:dyDescent="0.25">
      <c r="A17" s="26"/>
      <c r="B17" s="11" t="s">
        <v>80</v>
      </c>
      <c r="C17" s="11" t="s">
        <v>42</v>
      </c>
      <c r="D17" s="11" t="s">
        <v>81</v>
      </c>
      <c r="E17" s="11" t="s">
        <v>4</v>
      </c>
      <c r="F17" s="11">
        <v>9.6021640241071501E-2</v>
      </c>
      <c r="G17" s="11" t="str">
        <f t="shared" si="6"/>
        <v>ORISTANOSRP1 adulti</v>
      </c>
      <c r="H17" s="28">
        <f t="shared" si="1"/>
        <v>3</v>
      </c>
      <c r="I17" s="28">
        <f t="shared" si="2"/>
        <v>14</v>
      </c>
      <c r="J17" s="11">
        <f t="shared" si="3"/>
        <v>0.7857142857142857</v>
      </c>
      <c r="K17" s="11">
        <f t="shared" si="4"/>
        <v>0.44086796297767861</v>
      </c>
      <c r="L17" s="29">
        <f t="shared" si="5"/>
        <v>2.366321524261731E-2</v>
      </c>
      <c r="M17" s="11">
        <f>'00-BUDGET'!D$17*L17</f>
        <v>19004.703368277311</v>
      </c>
      <c r="N17" s="11">
        <f>'00-BUDGET'!F$17*L17</f>
        <v>28475.118585544151</v>
      </c>
      <c r="O17" s="11">
        <f>'00-BUDGET'!H$17*L17</f>
        <v>37339.514837700968</v>
      </c>
    </row>
    <row r="18" spans="1:15" x14ac:dyDescent="0.25">
      <c r="A18" s="26"/>
      <c r="B18" s="11" t="s">
        <v>80</v>
      </c>
      <c r="C18" s="11" t="s">
        <v>42</v>
      </c>
      <c r="D18" s="11" t="s">
        <v>81</v>
      </c>
      <c r="E18" s="11" t="s">
        <v>6</v>
      </c>
      <c r="F18" s="11">
        <v>9.6021640241071501E-2</v>
      </c>
      <c r="G18" s="11" t="str">
        <f t="shared" si="6"/>
        <v>ORISTANOSRP2 adulti</v>
      </c>
      <c r="H18" s="28">
        <f t="shared" si="1"/>
        <v>2</v>
      </c>
      <c r="I18" s="28">
        <f t="shared" si="2"/>
        <v>11</v>
      </c>
      <c r="J18" s="11">
        <f t="shared" si="3"/>
        <v>0.81818181818181812</v>
      </c>
      <c r="K18" s="11">
        <f t="shared" si="4"/>
        <v>0.45710172921144482</v>
      </c>
      <c r="L18" s="29">
        <f t="shared" si="5"/>
        <v>2.4534548922645658E-2</v>
      </c>
      <c r="M18" s="11">
        <f>'00-BUDGET'!D$17*L18</f>
        <v>19704.499991599438</v>
      </c>
      <c r="N18" s="11">
        <f>'00-BUDGET'!F$17*L18</f>
        <v>29523.637546809427</v>
      </c>
      <c r="O18" s="11">
        <f>'00-BUDGET'!H$17*L18</f>
        <v>38714.441133237146</v>
      </c>
    </row>
    <row r="19" spans="1:15" x14ac:dyDescent="0.25">
      <c r="A19" s="26"/>
      <c r="B19" s="11" t="s">
        <v>80</v>
      </c>
      <c r="C19" s="11" t="s">
        <v>42</v>
      </c>
      <c r="D19" s="11" t="s">
        <v>82</v>
      </c>
      <c r="E19" s="11" t="s">
        <v>4</v>
      </c>
      <c r="F19" s="11">
        <v>9.6021640241071501E-2</v>
      </c>
      <c r="G19" s="11" t="str">
        <f t="shared" si="6"/>
        <v>ORISTANOSRP1 adulti</v>
      </c>
      <c r="H19" s="28">
        <f t="shared" si="1"/>
        <v>3</v>
      </c>
      <c r="I19" s="28">
        <f t="shared" si="2"/>
        <v>14</v>
      </c>
      <c r="J19" s="11">
        <f t="shared" si="3"/>
        <v>0.7857142857142857</v>
      </c>
      <c r="K19" s="11">
        <f t="shared" si="4"/>
        <v>0.44086796297767861</v>
      </c>
      <c r="L19" s="29">
        <f t="shared" si="5"/>
        <v>2.366321524261731E-2</v>
      </c>
      <c r="M19" s="11">
        <f>'00-BUDGET'!D$17*L19</f>
        <v>19004.703368277311</v>
      </c>
      <c r="N19" s="11">
        <f>'00-BUDGET'!F$17*L19</f>
        <v>28475.118585544151</v>
      </c>
      <c r="O19" s="11">
        <f>'00-BUDGET'!H$17*L19</f>
        <v>37339.514837700968</v>
      </c>
    </row>
    <row r="20" spans="1:15" x14ac:dyDescent="0.25">
      <c r="A20" s="26"/>
      <c r="B20" s="11" t="s">
        <v>80</v>
      </c>
      <c r="C20" s="11" t="s">
        <v>42</v>
      </c>
      <c r="D20" s="11" t="s">
        <v>82</v>
      </c>
      <c r="E20" s="11" t="s">
        <v>6</v>
      </c>
      <c r="F20" s="11">
        <v>9.6021640241071501E-2</v>
      </c>
      <c r="G20" s="11" t="str">
        <f t="shared" si="6"/>
        <v>ORISTANOSRP2 adulti</v>
      </c>
      <c r="H20" s="28">
        <f t="shared" si="1"/>
        <v>2</v>
      </c>
      <c r="I20" s="28">
        <f t="shared" si="2"/>
        <v>11</v>
      </c>
      <c r="J20" s="11">
        <f t="shared" si="3"/>
        <v>0.81818181818181812</v>
      </c>
      <c r="K20" s="11">
        <f t="shared" si="4"/>
        <v>0.45710172921144482</v>
      </c>
      <c r="L20" s="29">
        <f t="shared" si="5"/>
        <v>2.4534548922645658E-2</v>
      </c>
      <c r="M20" s="11">
        <f>'00-BUDGET'!D$17*L20</f>
        <v>19704.499991599438</v>
      </c>
      <c r="N20" s="11">
        <f>'00-BUDGET'!F$17*L20</f>
        <v>29523.637546809427</v>
      </c>
      <c r="O20" s="11">
        <f>'00-BUDGET'!H$17*L20</f>
        <v>38714.441133237146</v>
      </c>
    </row>
    <row r="21" spans="1:15" x14ac:dyDescent="0.25">
      <c r="A21" s="26"/>
      <c r="B21" s="11" t="s">
        <v>80</v>
      </c>
      <c r="C21" s="11" t="s">
        <v>32</v>
      </c>
      <c r="D21" s="11" t="s">
        <v>83</v>
      </c>
      <c r="E21" s="11" t="s">
        <v>84</v>
      </c>
      <c r="F21" s="11">
        <v>9.6021640241071501E-2</v>
      </c>
      <c r="G21" s="11" t="str">
        <f t="shared" si="6"/>
        <v>ORISTANOSRP1 minori</v>
      </c>
      <c r="H21" s="28">
        <f t="shared" si="1"/>
        <v>1</v>
      </c>
      <c r="I21" s="28">
        <f t="shared" si="2"/>
        <v>2</v>
      </c>
      <c r="J21" s="11">
        <f t="shared" si="3"/>
        <v>0.5</v>
      </c>
      <c r="K21" s="11">
        <f t="shared" si="4"/>
        <v>0.29801082012053576</v>
      </c>
      <c r="L21" s="29">
        <f t="shared" si="5"/>
        <v>1.5995478858367825E-2</v>
      </c>
      <c r="M21" s="11">
        <f>'00-BUDGET'!D$17*L21</f>
        <v>12846.493083042602</v>
      </c>
      <c r="N21" s="11">
        <f>'00-BUDGET'!F$17*L21</f>
        <v>19248.151726409676</v>
      </c>
      <c r="O21" s="11">
        <f>'00-BUDGET'!H$17*L21</f>
        <v>25240.163436982548</v>
      </c>
    </row>
    <row r="22" spans="1:15" ht="31.5" x14ac:dyDescent="0.25">
      <c r="A22" s="26"/>
      <c r="B22" s="11" t="s">
        <v>80</v>
      </c>
      <c r="C22" s="11" t="s">
        <v>32</v>
      </c>
      <c r="D22" s="11" t="s">
        <v>85</v>
      </c>
      <c r="E22" s="27" t="s">
        <v>65</v>
      </c>
      <c r="F22" s="11">
        <v>9.6021640241071501E-2</v>
      </c>
      <c r="G22" s="11" t="str">
        <f t="shared" si="6"/>
        <v>ORISTANO
SRP2 minori</v>
      </c>
      <c r="H22" s="28">
        <f t="shared" si="1"/>
        <v>1</v>
      </c>
      <c r="I22" s="28">
        <f t="shared" si="2"/>
        <v>2</v>
      </c>
      <c r="J22" s="11">
        <f t="shared" si="3"/>
        <v>0.5</v>
      </c>
      <c r="K22" s="11">
        <f t="shared" si="4"/>
        <v>0.29801082012053576</v>
      </c>
      <c r="L22" s="29">
        <f t="shared" si="5"/>
        <v>1.5995478858367825E-2</v>
      </c>
      <c r="M22" s="11">
        <f>'00-BUDGET'!D$17*L22</f>
        <v>12846.493083042602</v>
      </c>
      <c r="N22" s="11">
        <f>'00-BUDGET'!F$17*L22</f>
        <v>19248.151726409676</v>
      </c>
      <c r="O22" s="11">
        <f>'00-BUDGET'!H$17*L22</f>
        <v>25240.163436982548</v>
      </c>
    </row>
    <row r="23" spans="1:15" x14ac:dyDescent="0.25">
      <c r="A23" s="26"/>
      <c r="B23" s="11" t="s">
        <v>78</v>
      </c>
      <c r="C23" s="11" t="s">
        <v>45</v>
      </c>
      <c r="D23" s="11" t="s">
        <v>86</v>
      </c>
      <c r="E23" s="11" t="s">
        <v>4</v>
      </c>
      <c r="F23" s="11">
        <v>0.34343362439390401</v>
      </c>
      <c r="G23" s="11" t="str">
        <f t="shared" si="6"/>
        <v>CAGLIARISRP1 adulti</v>
      </c>
      <c r="H23" s="28">
        <f t="shared" si="1"/>
        <v>4</v>
      </c>
      <c r="I23" s="28">
        <f t="shared" si="2"/>
        <v>14</v>
      </c>
      <c r="J23" s="11">
        <f t="shared" si="3"/>
        <v>0.7142857142857143</v>
      </c>
      <c r="K23" s="11">
        <f t="shared" si="4"/>
        <v>0.5288596693398091</v>
      </c>
      <c r="L23" s="29">
        <f t="shared" si="5"/>
        <v>2.8386095701313042E-2</v>
      </c>
      <c r="M23" s="11">
        <f>'00-BUDGET'!D$17*L23</f>
        <v>22797.803386219683</v>
      </c>
      <c r="N23" s="11">
        <f>'00-BUDGET'!F$17*L23</f>
        <v>34158.394494918641</v>
      </c>
      <c r="O23" s="11">
        <f>'00-BUDGET'!H$17*L23</f>
        <v>44792.012867070698</v>
      </c>
    </row>
    <row r="24" spans="1:15" x14ac:dyDescent="0.25">
      <c r="A24" s="26"/>
      <c r="B24" s="11" t="s">
        <v>78</v>
      </c>
      <c r="C24" s="11" t="s">
        <v>44</v>
      </c>
      <c r="D24" s="11" t="s">
        <v>87</v>
      </c>
      <c r="E24" s="11" t="s">
        <v>4</v>
      </c>
      <c r="F24" s="11">
        <v>0.34343362439390401</v>
      </c>
      <c r="G24" s="11" t="str">
        <f t="shared" si="6"/>
        <v>CAGLIARISRP1 adulti</v>
      </c>
      <c r="H24" s="28">
        <f t="shared" si="1"/>
        <v>4</v>
      </c>
      <c r="I24" s="28">
        <f t="shared" si="2"/>
        <v>14</v>
      </c>
      <c r="J24" s="11">
        <f t="shared" si="3"/>
        <v>0.7142857142857143</v>
      </c>
      <c r="K24" s="11">
        <f t="shared" si="4"/>
        <v>0.5288596693398091</v>
      </c>
      <c r="L24" s="29">
        <f t="shared" si="5"/>
        <v>2.8386095701313042E-2</v>
      </c>
      <c r="M24" s="11">
        <f>'00-BUDGET'!D$17*L24</f>
        <v>22797.803386219683</v>
      </c>
      <c r="N24" s="11">
        <f>'00-BUDGET'!F$17*L24</f>
        <v>34158.394494918641</v>
      </c>
      <c r="O24" s="11">
        <f>'00-BUDGET'!H$17*L24</f>
        <v>44792.012867070698</v>
      </c>
    </row>
    <row r="25" spans="1:15" x14ac:dyDescent="0.25">
      <c r="A25" s="26"/>
      <c r="B25" s="11" t="s">
        <v>80</v>
      </c>
      <c r="C25" s="11" t="s">
        <v>38</v>
      </c>
      <c r="D25" s="11" t="s">
        <v>88</v>
      </c>
      <c r="E25" s="11" t="s">
        <v>4</v>
      </c>
      <c r="F25" s="11">
        <v>9.6021640241071501E-2</v>
      </c>
      <c r="G25" s="11" t="str">
        <f t="shared" si="6"/>
        <v>ORISTANOSRP1 adulti</v>
      </c>
      <c r="H25" s="28">
        <f t="shared" si="1"/>
        <v>3</v>
      </c>
      <c r="I25" s="28">
        <f t="shared" si="2"/>
        <v>14</v>
      </c>
      <c r="J25" s="11">
        <f t="shared" si="3"/>
        <v>0.7857142857142857</v>
      </c>
      <c r="K25" s="11">
        <f t="shared" si="4"/>
        <v>0.44086796297767861</v>
      </c>
      <c r="L25" s="29">
        <f t="shared" si="5"/>
        <v>2.366321524261731E-2</v>
      </c>
      <c r="M25" s="11">
        <f>'00-BUDGET'!D$17*L25</f>
        <v>19004.703368277311</v>
      </c>
      <c r="N25" s="11">
        <f>'00-BUDGET'!F$17*L25</f>
        <v>28475.118585544151</v>
      </c>
      <c r="O25" s="11">
        <f>'00-BUDGET'!H$17*L25</f>
        <v>37339.514837700968</v>
      </c>
    </row>
    <row r="26" spans="1:15" x14ac:dyDescent="0.25">
      <c r="A26" s="26"/>
      <c r="B26" s="11" t="s">
        <v>75</v>
      </c>
      <c r="C26" s="11" t="s">
        <v>33</v>
      </c>
      <c r="D26" s="11" t="s">
        <v>89</v>
      </c>
      <c r="E26" s="11" t="s">
        <v>6</v>
      </c>
      <c r="F26" s="11">
        <v>9.2430262319887796E-2</v>
      </c>
      <c r="G26" s="11" t="str">
        <f t="shared" si="6"/>
        <v>NUOROSRP2 adulti</v>
      </c>
      <c r="H26" s="28">
        <f t="shared" si="1"/>
        <v>1</v>
      </c>
      <c r="I26" s="28">
        <f t="shared" si="2"/>
        <v>11</v>
      </c>
      <c r="J26" s="11">
        <f t="shared" si="3"/>
        <v>0.90909090909090906</v>
      </c>
      <c r="K26" s="11">
        <f t="shared" si="4"/>
        <v>0.50076058570539839</v>
      </c>
      <c r="L26" s="29">
        <f t="shared" si="5"/>
        <v>2.6877901139679562E-2</v>
      </c>
      <c r="M26" s="11">
        <f>'00-BUDGET'!D$17*L26</f>
        <v>21586.522925317997</v>
      </c>
      <c r="N26" s="11">
        <f>'00-BUDGET'!F$17*L26</f>
        <v>32343.509300651353</v>
      </c>
      <c r="O26" s="11">
        <f>'00-BUDGET'!H$17*L26</f>
        <v>42412.148058554318</v>
      </c>
    </row>
    <row r="27" spans="1:15" x14ac:dyDescent="0.25">
      <c r="A27" s="26"/>
      <c r="B27" s="11" t="s">
        <v>78</v>
      </c>
      <c r="C27" s="11" t="s">
        <v>35</v>
      </c>
      <c r="D27" s="11" t="s">
        <v>90</v>
      </c>
      <c r="E27" s="11" t="s">
        <v>4</v>
      </c>
      <c r="F27" s="11">
        <v>0.34343362439390401</v>
      </c>
      <c r="G27" s="11" t="str">
        <f t="shared" si="6"/>
        <v>CAGLIARISRP1 adulti</v>
      </c>
      <c r="H27" s="28">
        <f t="shared" si="1"/>
        <v>4</v>
      </c>
      <c r="I27" s="28">
        <f t="shared" si="2"/>
        <v>14</v>
      </c>
      <c r="J27" s="11">
        <f t="shared" si="3"/>
        <v>0.7142857142857143</v>
      </c>
      <c r="K27" s="11">
        <f t="shared" si="4"/>
        <v>0.5288596693398091</v>
      </c>
      <c r="L27" s="29">
        <f t="shared" si="5"/>
        <v>2.8386095701313042E-2</v>
      </c>
      <c r="M27" s="11">
        <f>'00-BUDGET'!D$17*L27</f>
        <v>22797.803386219683</v>
      </c>
      <c r="N27" s="11">
        <f>'00-BUDGET'!F$17*L27</f>
        <v>34158.394494918641</v>
      </c>
      <c r="O27" s="11">
        <f>'00-BUDGET'!H$17*L27</f>
        <v>44792.012867070698</v>
      </c>
    </row>
    <row r="28" spans="1:15" x14ac:dyDescent="0.25">
      <c r="A28" s="26"/>
      <c r="B28" s="11" t="s">
        <v>91</v>
      </c>
      <c r="C28" s="11" t="s">
        <v>31</v>
      </c>
      <c r="D28" s="11" t="s">
        <v>92</v>
      </c>
      <c r="E28" s="11" t="s">
        <v>4</v>
      </c>
      <c r="F28" s="11">
        <v>0.20051177607843701</v>
      </c>
      <c r="G28" s="11" t="str">
        <f t="shared" si="6"/>
        <v>SASSARISRP1 adulti</v>
      </c>
      <c r="H28" s="28">
        <f t="shared" si="1"/>
        <v>1</v>
      </c>
      <c r="I28" s="28">
        <f t="shared" si="2"/>
        <v>14</v>
      </c>
      <c r="J28" s="11">
        <f t="shared" si="3"/>
        <v>0.9285714285714286</v>
      </c>
      <c r="K28" s="11">
        <f t="shared" si="4"/>
        <v>0.56454160232493278</v>
      </c>
      <c r="L28" s="29">
        <f t="shared" si="5"/>
        <v>3.0301293291985734E-2</v>
      </c>
      <c r="M28" s="11">
        <f>'00-BUDGET'!D$17*L28</f>
        <v>24335.961313161992</v>
      </c>
      <c r="N28" s="11">
        <f>'00-BUDGET'!F$17*L28</f>
        <v>36463.046586783792</v>
      </c>
      <c r="O28" s="11">
        <f>'00-BUDGET'!H$17*L28</f>
        <v>47814.110587977972</v>
      </c>
    </row>
    <row r="29" spans="1:15" x14ac:dyDescent="0.25">
      <c r="A29" s="26"/>
      <c r="B29" s="11" t="s">
        <v>91</v>
      </c>
      <c r="C29" s="11" t="s">
        <v>31</v>
      </c>
      <c r="D29" s="11" t="s">
        <v>92</v>
      </c>
      <c r="E29" s="11" t="s">
        <v>6</v>
      </c>
      <c r="F29" s="11">
        <v>0.20051177607843701</v>
      </c>
      <c r="G29" s="11" t="str">
        <f t="shared" si="6"/>
        <v>SASSARISRP2 adulti</v>
      </c>
      <c r="H29" s="28">
        <f t="shared" si="1"/>
        <v>1</v>
      </c>
      <c r="I29" s="28">
        <f t="shared" si="2"/>
        <v>11</v>
      </c>
      <c r="J29" s="11">
        <f t="shared" si="3"/>
        <v>0.90909090909090906</v>
      </c>
      <c r="K29" s="11">
        <f t="shared" si="4"/>
        <v>0.55480134258467306</v>
      </c>
      <c r="L29" s="29">
        <f t="shared" si="5"/>
        <v>2.9778493083968727E-2</v>
      </c>
      <c r="M29" s="11">
        <f>'00-BUDGET'!D$17*L29</f>
        <v>23916.083339168719</v>
      </c>
      <c r="N29" s="11">
        <f>'00-BUDGET'!F$17*L29</f>
        <v>35833.935210024625</v>
      </c>
      <c r="O29" s="11">
        <f>'00-BUDGET'!H$17*L29</f>
        <v>46989.15481065627</v>
      </c>
    </row>
    <row r="30" spans="1:15" x14ac:dyDescent="0.25">
      <c r="A30" s="26"/>
      <c r="B30" s="11" t="s">
        <v>91</v>
      </c>
      <c r="C30" s="11" t="s">
        <v>31</v>
      </c>
      <c r="D30" s="11" t="s">
        <v>92</v>
      </c>
      <c r="E30" s="11" t="s">
        <v>10</v>
      </c>
      <c r="F30" s="11">
        <v>0.20051177607843701</v>
      </c>
      <c r="G30" s="11" t="str">
        <f t="shared" si="6"/>
        <v>SASSARISRP3 adulti</v>
      </c>
      <c r="H30" s="28">
        <f t="shared" si="1"/>
        <v>1</v>
      </c>
      <c r="I30" s="28">
        <f t="shared" si="2"/>
        <v>2</v>
      </c>
      <c r="J30" s="11">
        <f t="shared" si="3"/>
        <v>0.5</v>
      </c>
      <c r="K30" s="11">
        <f t="shared" si="4"/>
        <v>0.35025588803921848</v>
      </c>
      <c r="L30" s="29">
        <f t="shared" si="5"/>
        <v>1.8799688715611506E-2</v>
      </c>
      <c r="M30" s="11">
        <f>'00-BUDGET'!D$17*L30</f>
        <v>15098.645885309927</v>
      </c>
      <c r="N30" s="11">
        <f>'00-BUDGET'!F$17*L30</f>
        <v>22622.59629808208</v>
      </c>
      <c r="O30" s="11">
        <f>'00-BUDGET'!H$17*L30</f>
        <v>29665.083486900341</v>
      </c>
    </row>
    <row r="31" spans="1:15" x14ac:dyDescent="0.25">
      <c r="A31" s="26"/>
      <c r="B31" s="11" t="s">
        <v>78</v>
      </c>
      <c r="C31" s="11" t="s">
        <v>48</v>
      </c>
      <c r="D31" s="11" t="s">
        <v>93</v>
      </c>
      <c r="E31" s="11" t="s">
        <v>6</v>
      </c>
      <c r="F31" s="11">
        <v>0.34343362439390401</v>
      </c>
      <c r="G31" s="11" t="str">
        <f t="shared" si="6"/>
        <v>CAGLIARISRP2 adulti</v>
      </c>
      <c r="H31" s="28">
        <f t="shared" si="1"/>
        <v>2</v>
      </c>
      <c r="I31" s="28">
        <f t="shared" si="2"/>
        <v>11</v>
      </c>
      <c r="J31" s="11">
        <f t="shared" si="3"/>
        <v>0.81818181818181812</v>
      </c>
      <c r="K31" s="11">
        <f t="shared" si="4"/>
        <v>0.58080772128786107</v>
      </c>
      <c r="L31" s="29">
        <f t="shared" si="5"/>
        <v>3.1174363477403766E-2</v>
      </c>
      <c r="M31" s="11">
        <f>'00-BUDGET'!D$17*L31</f>
        <v>25037.152580850488</v>
      </c>
      <c r="N31" s="11">
        <f>'00-BUDGET'!F$17*L31</f>
        <v>37513.65517096754</v>
      </c>
      <c r="O31" s="11">
        <f>'00-BUDGET'!H$17*L31</f>
        <v>49191.777012786486</v>
      </c>
    </row>
    <row r="32" spans="1:15" x14ac:dyDescent="0.25">
      <c r="A32" s="26"/>
      <c r="B32" s="11" t="s">
        <v>78</v>
      </c>
      <c r="C32" s="11" t="s">
        <v>48</v>
      </c>
      <c r="D32" s="11" t="s">
        <v>93</v>
      </c>
      <c r="E32" s="11" t="s">
        <v>94</v>
      </c>
      <c r="F32" s="11">
        <v>0.34343362439390401</v>
      </c>
      <c r="G32" s="11" t="str">
        <f t="shared" si="6"/>
        <v>CAGLIARICENTRO DIURNO</v>
      </c>
      <c r="H32" s="28">
        <f t="shared" si="1"/>
        <v>1</v>
      </c>
      <c r="I32" s="28">
        <f t="shared" si="2"/>
        <v>1</v>
      </c>
      <c r="J32" s="11">
        <f t="shared" si="3"/>
        <v>1</v>
      </c>
      <c r="K32" s="11">
        <f t="shared" si="4"/>
        <v>0.67171681219695201</v>
      </c>
      <c r="L32" s="29">
        <f t="shared" si="5"/>
        <v>3.605383208556253E-2</v>
      </c>
      <c r="M32" s="11">
        <f>'00-BUDGET'!D$17*L32</f>
        <v>28956.013671454395</v>
      </c>
      <c r="N32" s="11">
        <f>'00-BUDGET'!F$17*L32</f>
        <v>43385.361354053115</v>
      </c>
      <c r="O32" s="11">
        <f>'00-BUDGET'!H$17*L32</f>
        <v>56891.364267789118</v>
      </c>
    </row>
    <row r="33" spans="1:15" x14ac:dyDescent="0.25">
      <c r="A33" s="26"/>
      <c r="B33" s="11" t="s">
        <v>78</v>
      </c>
      <c r="C33" s="11" t="s">
        <v>30</v>
      </c>
      <c r="D33" s="11" t="s">
        <v>30</v>
      </c>
      <c r="E33" s="11" t="s">
        <v>84</v>
      </c>
      <c r="F33" s="11">
        <v>0.34343362439390401</v>
      </c>
      <c r="G33" s="11" t="str">
        <f t="shared" si="6"/>
        <v>CAGLIARISRP1 minori</v>
      </c>
      <c r="H33" s="28">
        <f t="shared" si="1"/>
        <v>1</v>
      </c>
      <c r="I33" s="28">
        <f t="shared" si="2"/>
        <v>2</v>
      </c>
      <c r="J33" s="11">
        <f t="shared" si="3"/>
        <v>0.5</v>
      </c>
      <c r="K33" s="11">
        <f t="shared" si="4"/>
        <v>0.42171681219695201</v>
      </c>
      <c r="L33" s="29">
        <f t="shared" si="5"/>
        <v>2.263529341312593E-2</v>
      </c>
      <c r="M33" s="11">
        <f>'00-BUDGET'!D$17*L33</f>
        <v>18179.145672293653</v>
      </c>
      <c r="N33" s="11">
        <f>'00-BUDGET'!F$17*L33</f>
        <v>27238.169350567787</v>
      </c>
      <c r="O33" s="11">
        <f>'00-BUDGET'!H$17*L33</f>
        <v>35717.499316531881</v>
      </c>
    </row>
    <row r="34" spans="1:15" ht="47.25" x14ac:dyDescent="0.25">
      <c r="A34" s="26"/>
      <c r="B34" s="11" t="s">
        <v>91</v>
      </c>
      <c r="C34" s="11" t="s">
        <v>39</v>
      </c>
      <c r="D34" s="11" t="s">
        <v>95</v>
      </c>
      <c r="E34" s="27" t="s">
        <v>96</v>
      </c>
      <c r="F34" s="11">
        <v>0.20051177607843701</v>
      </c>
      <c r="G34" s="11" t="str">
        <f t="shared" si="6"/>
        <v xml:space="preserve">SASSARIAUTISMO 
RESIDENZIALE 
 </v>
      </c>
      <c r="H34" s="28">
        <f t="shared" si="1"/>
        <v>1</v>
      </c>
      <c r="I34" s="28">
        <f t="shared" si="2"/>
        <v>3</v>
      </c>
      <c r="J34" s="11">
        <f t="shared" si="3"/>
        <v>0.66666666666666674</v>
      </c>
      <c r="K34" s="11">
        <f t="shared" si="4"/>
        <v>0.43358922137255185</v>
      </c>
      <c r="L34" s="29">
        <f t="shared" si="5"/>
        <v>2.3272534939757041E-2</v>
      </c>
      <c r="M34" s="11">
        <f>'00-BUDGET'!D$17*L34</f>
        <v>18690.935218363509</v>
      </c>
      <c r="N34" s="11">
        <f>'00-BUDGET'!F$17*L34</f>
        <v>28004.993632577192</v>
      </c>
      <c r="O34" s="11">
        <f>'00-BUDGET'!H$17*L34</f>
        <v>36723.038470652755</v>
      </c>
    </row>
    <row r="35" spans="1:15" ht="31.5" x14ac:dyDescent="0.25">
      <c r="A35" s="26"/>
      <c r="B35" s="11" t="s">
        <v>91</v>
      </c>
      <c r="C35" s="11" t="s">
        <v>39</v>
      </c>
      <c r="D35" s="11" t="s">
        <v>95</v>
      </c>
      <c r="E35" s="27" t="s">
        <v>97</v>
      </c>
      <c r="F35" s="11">
        <v>0.20051177607843701</v>
      </c>
      <c r="G35" s="11" t="str">
        <f t="shared" si="6"/>
        <v xml:space="preserve">SASSARIAUTISMO 
SEMIRESIDENZIALE </v>
      </c>
      <c r="H35" s="28">
        <f t="shared" si="1"/>
        <v>2</v>
      </c>
      <c r="I35" s="28">
        <f t="shared" si="2"/>
        <v>4</v>
      </c>
      <c r="J35" s="11">
        <f t="shared" si="3"/>
        <v>0.5</v>
      </c>
      <c r="K35" s="11">
        <f t="shared" si="4"/>
        <v>0.35025588803921848</v>
      </c>
      <c r="L35" s="29">
        <f t="shared" si="5"/>
        <v>1.8799688715611506E-2</v>
      </c>
      <c r="M35" s="11">
        <f>'00-BUDGET'!D$17*L35</f>
        <v>15098.645885309927</v>
      </c>
      <c r="N35" s="11">
        <f>'00-BUDGET'!F$17*L35</f>
        <v>22622.59629808208</v>
      </c>
      <c r="O35" s="11">
        <f>'00-BUDGET'!H$17*L35</f>
        <v>29665.083486900341</v>
      </c>
    </row>
    <row r="36" spans="1:15" ht="47.25" x14ac:dyDescent="0.25">
      <c r="A36" s="26"/>
      <c r="B36" s="11" t="s">
        <v>78</v>
      </c>
      <c r="C36" s="11" t="s">
        <v>41</v>
      </c>
      <c r="D36" s="11" t="s">
        <v>98</v>
      </c>
      <c r="E36" s="27" t="s">
        <v>96</v>
      </c>
      <c r="F36" s="11">
        <v>0.34343362439390401</v>
      </c>
      <c r="G36" s="11" t="str">
        <f t="shared" si="6"/>
        <v xml:space="preserve">CAGLIARIAUTISMO 
RESIDENZIALE 
 </v>
      </c>
      <c r="H36" s="28">
        <f t="shared" si="1"/>
        <v>1</v>
      </c>
      <c r="I36" s="28">
        <f t="shared" si="2"/>
        <v>3</v>
      </c>
      <c r="J36" s="11">
        <f t="shared" si="3"/>
        <v>0.66666666666666674</v>
      </c>
      <c r="K36" s="11">
        <f t="shared" si="4"/>
        <v>0.50505014553028538</v>
      </c>
      <c r="L36" s="29">
        <f t="shared" si="5"/>
        <v>2.7108139637271468E-2</v>
      </c>
      <c r="M36" s="11">
        <f>'00-BUDGET'!D$17*L36</f>
        <v>21771.435005347237</v>
      </c>
      <c r="N36" s="11">
        <f>'00-BUDGET'!F$17*L36</f>
        <v>32620.566685062902</v>
      </c>
      <c r="O36" s="11">
        <f>'00-BUDGET'!H$17*L36</f>
        <v>42775.454300284306</v>
      </c>
    </row>
    <row r="37" spans="1:15" ht="31.5" x14ac:dyDescent="0.25">
      <c r="A37" s="26"/>
      <c r="B37" s="11" t="s">
        <v>78</v>
      </c>
      <c r="C37" s="11" t="s">
        <v>41</v>
      </c>
      <c r="D37" s="11" t="s">
        <v>98</v>
      </c>
      <c r="E37" s="27" t="s">
        <v>97</v>
      </c>
      <c r="F37" s="11">
        <v>0.34343362439390401</v>
      </c>
      <c r="G37" s="11" t="str">
        <f t="shared" si="6"/>
        <v xml:space="preserve">CAGLIARIAUTISMO 
SEMIRESIDENZIALE </v>
      </c>
      <c r="H37" s="28">
        <f t="shared" si="1"/>
        <v>1</v>
      </c>
      <c r="I37" s="28">
        <f t="shared" si="2"/>
        <v>4</v>
      </c>
      <c r="J37" s="11">
        <f t="shared" si="3"/>
        <v>0.75</v>
      </c>
      <c r="K37" s="11">
        <f t="shared" si="4"/>
        <v>0.54671681219695201</v>
      </c>
      <c r="L37" s="29">
        <f t="shared" si="5"/>
        <v>2.934456274934423E-2</v>
      </c>
      <c r="M37" s="11">
        <f>'00-BUDGET'!D$17*L37</f>
        <v>23567.579671874024</v>
      </c>
      <c r="N37" s="11">
        <f>'00-BUDGET'!F$17*L37</f>
        <v>35311.765352310453</v>
      </c>
      <c r="O37" s="11">
        <f>'00-BUDGET'!H$17*L37</f>
        <v>46304.431792160503</v>
      </c>
    </row>
    <row r="38" spans="1:15" ht="47.25" x14ac:dyDescent="0.25">
      <c r="A38" s="26"/>
      <c r="B38" s="11" t="s">
        <v>67</v>
      </c>
      <c r="C38" s="11" t="s">
        <v>49</v>
      </c>
      <c r="D38" s="11" t="s">
        <v>99</v>
      </c>
      <c r="E38" s="27" t="s">
        <v>96</v>
      </c>
      <c r="F38" s="11">
        <v>5.8371702890174099E-2</v>
      </c>
      <c r="G38" s="11" t="str">
        <f t="shared" si="6"/>
        <v xml:space="preserve">MEDIO CAMPIDANOAUTISMO 
RESIDENZIALE 
 </v>
      </c>
      <c r="H38" s="28">
        <f t="shared" si="1"/>
        <v>1</v>
      </c>
      <c r="I38" s="28">
        <f t="shared" si="2"/>
        <v>3</v>
      </c>
      <c r="J38" s="11">
        <f t="shared" si="3"/>
        <v>0.66666666666666674</v>
      </c>
      <c r="K38" s="11">
        <f t="shared" si="4"/>
        <v>0.36251918477842043</v>
      </c>
      <c r="L38" s="29">
        <f t="shared" si="5"/>
        <v>1.9457910801797696E-2</v>
      </c>
      <c r="M38" s="11">
        <f>'00-BUDGET'!D$17*L38</f>
        <v>15627.285606081599</v>
      </c>
      <c r="N38" s="11">
        <f>'00-BUDGET'!F$17*L38</f>
        <v>23414.667526256522</v>
      </c>
      <c r="O38" s="11">
        <f>'00-BUDGET'!H$17*L38</f>
        <v>30703.729042952567</v>
      </c>
    </row>
    <row r="39" spans="1:15" ht="31.5" x14ac:dyDescent="0.25">
      <c r="A39" s="26"/>
      <c r="B39" s="11" t="s">
        <v>67</v>
      </c>
      <c r="C39" s="11" t="s">
        <v>49</v>
      </c>
      <c r="D39" s="11" t="s">
        <v>99</v>
      </c>
      <c r="E39" s="27" t="s">
        <v>97</v>
      </c>
      <c r="F39" s="11">
        <v>5.8371702890174099E-2</v>
      </c>
      <c r="G39" s="11" t="str">
        <f t="shared" si="6"/>
        <v xml:space="preserve">MEDIO CAMPIDANOAUTISMO 
SEMIRESIDENZIALE </v>
      </c>
      <c r="H39" s="28">
        <f t="shared" si="1"/>
        <v>1</v>
      </c>
      <c r="I39" s="28">
        <f t="shared" si="2"/>
        <v>4</v>
      </c>
      <c r="J39" s="11">
        <f t="shared" si="3"/>
        <v>0.75</v>
      </c>
      <c r="K39" s="11">
        <f t="shared" si="4"/>
        <v>0.40418585144508706</v>
      </c>
      <c r="L39" s="29">
        <f t="shared" si="5"/>
        <v>2.1694333913870462E-2</v>
      </c>
      <c r="M39" s="11">
        <f>'00-BUDGET'!D$17*L39</f>
        <v>17423.430272608388</v>
      </c>
      <c r="N39" s="11">
        <f>'00-BUDGET'!F$17*L39</f>
        <v>26105.866193504076</v>
      </c>
      <c r="O39" s="11">
        <f>'00-BUDGET'!H$17*L39</f>
        <v>34232.706534828772</v>
      </c>
    </row>
    <row r="40" spans="1:15" ht="31.5" x14ac:dyDescent="0.25">
      <c r="A40" s="26"/>
      <c r="B40" s="11" t="s">
        <v>91</v>
      </c>
      <c r="C40" s="11" t="s">
        <v>47</v>
      </c>
      <c r="D40" s="11" t="s">
        <v>100</v>
      </c>
      <c r="E40" s="27" t="s">
        <v>97</v>
      </c>
      <c r="F40" s="11">
        <v>0.20051177607843701</v>
      </c>
      <c r="G40" s="11" t="str">
        <f t="shared" si="6"/>
        <v xml:space="preserve">SASSARIAUTISMO 
SEMIRESIDENZIALE </v>
      </c>
      <c r="H40" s="28">
        <f t="shared" si="1"/>
        <v>2</v>
      </c>
      <c r="I40" s="28">
        <f t="shared" si="2"/>
        <v>4</v>
      </c>
      <c r="J40" s="11">
        <f t="shared" si="3"/>
        <v>0.5</v>
      </c>
      <c r="K40" s="11">
        <f t="shared" si="4"/>
        <v>0.35025588803921848</v>
      </c>
      <c r="L40" s="29">
        <f t="shared" si="5"/>
        <v>1.8799688715611506E-2</v>
      </c>
      <c r="M40" s="11">
        <f>'00-BUDGET'!D$17*L40</f>
        <v>15098.645885309927</v>
      </c>
      <c r="N40" s="11">
        <f>'00-BUDGET'!F$17*L40</f>
        <v>22622.59629808208</v>
      </c>
      <c r="O40" s="11">
        <f>'00-BUDGET'!H$17*L40</f>
        <v>29665.083486900341</v>
      </c>
    </row>
    <row r="41" spans="1:15" x14ac:dyDescent="0.25">
      <c r="A41" s="26"/>
      <c r="B41" s="11" t="s">
        <v>63</v>
      </c>
      <c r="C41" s="11" t="s">
        <v>46</v>
      </c>
      <c r="D41" s="11" t="s">
        <v>101</v>
      </c>
      <c r="E41" s="11" t="s">
        <v>102</v>
      </c>
      <c r="F41" s="11">
        <v>7.5018914422396707E-2</v>
      </c>
      <c r="G41" s="11" t="str">
        <f t="shared" si="6"/>
        <v xml:space="preserve">SULCISDisturbi comportamento alimentare - SEMIRESIDENZIALE </v>
      </c>
      <c r="H41" s="28">
        <f t="shared" si="1"/>
        <v>1</v>
      </c>
      <c r="I41" s="28">
        <f t="shared" si="2"/>
        <v>1</v>
      </c>
      <c r="J41" s="11">
        <f t="shared" si="3"/>
        <v>1</v>
      </c>
      <c r="K41" s="11">
        <f t="shared" si="4"/>
        <v>0.53750945721119836</v>
      </c>
      <c r="L41" s="29">
        <f t="shared" si="5"/>
        <v>2.8850365753555481E-2</v>
      </c>
      <c r="M41" s="11">
        <f>'00-BUDGET'!D$17*L41</f>
        <v>23170.673874662498</v>
      </c>
      <c r="N41" s="11">
        <f>'00-BUDGET'!F$17*L41</f>
        <v>34717.073637113601</v>
      </c>
      <c r="O41" s="11">
        <f>'00-BUDGET'!H$17*L41</f>
        <v>45524.610628053968</v>
      </c>
    </row>
    <row r="42" spans="1:15" x14ac:dyDescent="0.25">
      <c r="B42" s="11" t="s">
        <v>63</v>
      </c>
      <c r="C42" s="11" t="s">
        <v>46</v>
      </c>
      <c r="D42" s="11" t="s">
        <v>101</v>
      </c>
      <c r="E42" s="11" t="s">
        <v>103</v>
      </c>
      <c r="F42" s="11">
        <v>7.5018914422396707E-2</v>
      </c>
      <c r="G42" s="11" t="str">
        <f t="shared" si="6"/>
        <v xml:space="preserve">SULCISDisturbi comportamento alimentare - RESIDENZIALE </v>
      </c>
      <c r="H42" s="28">
        <f t="shared" si="1"/>
        <v>1</v>
      </c>
      <c r="I42" s="28">
        <f t="shared" si="2"/>
        <v>1</v>
      </c>
      <c r="J42" s="11">
        <f t="shared" si="3"/>
        <v>1</v>
      </c>
      <c r="K42" s="11">
        <f t="shared" si="4"/>
        <v>0.53750945721119836</v>
      </c>
      <c r="L42" s="29">
        <f t="shared" si="5"/>
        <v>2.8850365753555481E-2</v>
      </c>
      <c r="M42" s="11">
        <f>'00-BUDGET'!D$17*L42</f>
        <v>23170.673874662498</v>
      </c>
      <c r="N42" s="11">
        <f>'00-BUDGET'!F$17*L42</f>
        <v>34717.073637113601</v>
      </c>
      <c r="O42" s="11">
        <f>'00-BUDGET'!H$17*L42</f>
        <v>45524.610628053968</v>
      </c>
    </row>
  </sheetData>
  <autoFilter ref="A1:O42"/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22"/>
  <sheetViews>
    <sheetView topLeftCell="B1" zoomScale="85" zoomScaleNormal="85" workbookViewId="0">
      <selection activeCell="B1" sqref="B1"/>
    </sheetView>
  </sheetViews>
  <sheetFormatPr defaultColWidth="8.625" defaultRowHeight="15.75" x14ac:dyDescent="0.25"/>
  <cols>
    <col min="1" max="1" width="9.125" style="1" hidden="1" customWidth="1"/>
    <col min="2" max="2" width="48.625" style="1" customWidth="1"/>
    <col min="3" max="3" width="18.5" style="1" customWidth="1"/>
    <col min="4" max="4" width="15.25" style="1" customWidth="1"/>
    <col min="5" max="5" width="16.375" style="1" customWidth="1"/>
    <col min="16380" max="16384" width="10.5" style="1" customWidth="1"/>
  </cols>
  <sheetData>
    <row r="1" spans="1:5" ht="72" x14ac:dyDescent="0.25">
      <c r="A1" s="1" t="s">
        <v>24</v>
      </c>
      <c r="B1" s="18" t="s">
        <v>25</v>
      </c>
      <c r="C1" s="18" t="s">
        <v>60</v>
      </c>
      <c r="D1" s="18" t="s">
        <v>61</v>
      </c>
      <c r="E1" s="18" t="s">
        <v>62</v>
      </c>
    </row>
    <row r="2" spans="1:5" x14ac:dyDescent="0.25">
      <c r="A2" s="1" t="e">
        <f>CONCATENATE(B2,#REF!)</f>
        <v>#REF!</v>
      </c>
      <c r="B2" s="19" t="s">
        <v>30</v>
      </c>
      <c r="C2" s="20">
        <f>SUMIF('03-CAPILLARIZZAZIONE calc'!C$2:C$42,B2,'03-CAPILLARIZZAZIONE calc'!M$2:M$42)</f>
        <v>18179.145672293653</v>
      </c>
      <c r="D2" s="20">
        <f>SUMIF('03-CAPILLARIZZAZIONE calc'!C$2:C$42,B2,'03-CAPILLARIZZAZIONE calc'!N$2:N$42)</f>
        <v>27238.169350567787</v>
      </c>
      <c r="E2" s="20">
        <f>SUMIF('03-CAPILLARIZZAZIONE calc'!C$2:C$42,B2,'03-CAPILLARIZZAZIONE calc'!O$2:O$42)</f>
        <v>35717.499316531881</v>
      </c>
    </row>
    <row r="3" spans="1:5" x14ac:dyDescent="0.25">
      <c r="A3" s="1" t="e">
        <f>CONCATENATE(B3,#REF!)</f>
        <v>#REF!</v>
      </c>
      <c r="B3" s="19" t="s">
        <v>31</v>
      </c>
      <c r="C3" s="20">
        <f>SUMIF('03-CAPILLARIZZAZIONE calc'!C$2:C$42,B3,'03-CAPILLARIZZAZIONE calc'!M$2:M$42)</f>
        <v>63350.690537640636</v>
      </c>
      <c r="D3" s="20">
        <f>SUMIF('03-CAPILLARIZZAZIONE calc'!C$2:C$42,B3,'03-CAPILLARIZZAZIONE calc'!N$2:N$42)</f>
        <v>94919.578094890501</v>
      </c>
      <c r="E3" s="20">
        <f>SUMIF('03-CAPILLARIZZAZIONE calc'!C$2:C$42,B3,'03-CAPILLARIZZAZIONE calc'!O$2:O$42)</f>
        <v>124468.34888553459</v>
      </c>
    </row>
    <row r="4" spans="1:5" x14ac:dyDescent="0.25">
      <c r="A4" s="1" t="e">
        <f>CONCATENATE(B4,#REF!)</f>
        <v>#REF!</v>
      </c>
      <c r="B4" s="19" t="s">
        <v>32</v>
      </c>
      <c r="C4" s="20">
        <f>SUMIF('03-CAPILLARIZZAZIONE calc'!C$2:C$42,B4,'03-CAPILLARIZZAZIONE calc'!M$2:M$42)</f>
        <v>25692.986166085204</v>
      </c>
      <c r="D4" s="20">
        <f>SUMIF('03-CAPILLARIZZAZIONE calc'!C$2:C$42,B4,'03-CAPILLARIZZAZIONE calc'!N$2:N$42)</f>
        <v>38496.303452819353</v>
      </c>
      <c r="E4" s="20">
        <f>SUMIF('03-CAPILLARIZZAZIONE calc'!C$2:C$42,B4,'03-CAPILLARIZZAZIONE calc'!O$2:O$42)</f>
        <v>50480.326873965096</v>
      </c>
    </row>
    <row r="5" spans="1:5" ht="26.85" customHeight="1" x14ac:dyDescent="0.25">
      <c r="A5" s="1" t="e">
        <f>CONCATENATE(B5,#REF!)</f>
        <v>#REF!</v>
      </c>
      <c r="B5" s="19" t="s">
        <v>33</v>
      </c>
      <c r="C5" s="20">
        <f>SUMIF('03-CAPILLARIZZAZIONE calc'!C$2:C$42,B5,'03-CAPILLARIZZAZIONE calc'!M$2:M$42)</f>
        <v>21586.522925317997</v>
      </c>
      <c r="D5" s="20">
        <f>SUMIF('03-CAPILLARIZZAZIONE calc'!C$2:C$42,B5,'03-CAPILLARIZZAZIONE calc'!N$2:N$42)</f>
        <v>32343.509300651353</v>
      </c>
      <c r="E5" s="20">
        <f>SUMIF('03-CAPILLARIZZAZIONE calc'!C$2:C$42,B5,'03-CAPILLARIZZAZIONE calc'!O$2:O$42)</f>
        <v>42412.148058554318</v>
      </c>
    </row>
    <row r="6" spans="1:5" x14ac:dyDescent="0.25">
      <c r="A6" s="1" t="e">
        <f>CONCATENATE(B6,#REF!)</f>
        <v>#REF!</v>
      </c>
      <c r="B6" s="19" t="s">
        <v>34</v>
      </c>
      <c r="C6" s="20">
        <f>SUMIF('03-CAPILLARIZZAZIONE calc'!C$2:C$42,B6,'03-CAPILLARIZZAZIONE calc'!M$2:M$42)</f>
        <v>22006.400899311273</v>
      </c>
      <c r="D6" s="20">
        <f>SUMIF('03-CAPILLARIZZAZIONE calc'!C$2:C$42,B6,'03-CAPILLARIZZAZIONE calc'!N$2:N$42)</f>
        <v>32972.620677410523</v>
      </c>
      <c r="E6" s="20">
        <f>SUMIF('03-CAPILLARIZZAZIONE calc'!C$2:C$42,B6,'03-CAPILLARIZZAZIONE calc'!O$2:O$42)</f>
        <v>43237.103835876034</v>
      </c>
    </row>
    <row r="7" spans="1:5" x14ac:dyDescent="0.25">
      <c r="A7" s="1" t="e">
        <f>CONCATENATE(B7,#REF!)</f>
        <v>#REF!</v>
      </c>
      <c r="B7" s="19" t="s">
        <v>35</v>
      </c>
      <c r="C7" s="20">
        <f>SUMIF('03-CAPILLARIZZAZIONE calc'!C$2:C$42,B7,'03-CAPILLARIZZAZIONE calc'!M$2:M$42)</f>
        <v>22797.803386219683</v>
      </c>
      <c r="D7" s="20">
        <f>SUMIF('03-CAPILLARIZZAZIONE calc'!C$2:C$42,B7,'03-CAPILLARIZZAZIONE calc'!N$2:N$42)</f>
        <v>34158.394494918641</v>
      </c>
      <c r="E7" s="20">
        <f>SUMIF('03-CAPILLARIZZAZIONE calc'!C$2:C$42,B7,'03-CAPILLARIZZAZIONE calc'!O$2:O$42)</f>
        <v>44792.012867070698</v>
      </c>
    </row>
    <row r="8" spans="1:5" ht="31.5" x14ac:dyDescent="0.25">
      <c r="A8" s="1" t="e">
        <f>CONCATENATE(B8,#REF!)</f>
        <v>#REF!</v>
      </c>
      <c r="B8" s="19" t="s">
        <v>36</v>
      </c>
      <c r="C8" s="20">
        <f>SUMIF('03-CAPILLARIZZAZIONE calc'!C$2:C$42,B8,'03-CAPILLARIZZAZIONE calc'!M$2:M$42)</f>
        <v>42842.364632714365</v>
      </c>
      <c r="D8" s="20">
        <f>SUMIF('03-CAPILLARIZZAZIONE calc'!C$2:C$42,B8,'03-CAPILLARIZZAZIONE calc'!N$2:N$42)</f>
        <v>64191.552467900801</v>
      </c>
      <c r="E8" s="20">
        <f>SUMIF('03-CAPILLARIZZAZIONE calc'!C$2:C$42,B8,'03-CAPILLARIZZAZIONE calc'!O$2:O$42)</f>
        <v>84174.589778427035</v>
      </c>
    </row>
    <row r="9" spans="1:5" x14ac:dyDescent="0.25">
      <c r="B9" s="19" t="s">
        <v>37</v>
      </c>
      <c r="C9" s="20">
        <f>SUMIF('03-CAPILLARIZZAZIONE calc'!C$2:C$42,B9,'03-CAPILLARIZZAZIONE calc'!M$2:M$42)</f>
        <v>102298.34422758209</v>
      </c>
      <c r="D9" s="20">
        <f>SUMIF('03-CAPILLARIZZAZIONE calc'!C$2:C$42,B9,'03-CAPILLARIZZAZIONE calc'!N$2:N$42)</f>
        <v>153275.60901831964</v>
      </c>
      <c r="E9" s="20">
        <f>SUMIF('03-CAPILLARIZZAZIONE calc'!C$2:C$42,B9,'03-CAPILLARIZZAZIONE calc'!O$2:O$42)</f>
        <v>200990.80044227425</v>
      </c>
    </row>
    <row r="10" spans="1:5" x14ac:dyDescent="0.25">
      <c r="B10" s="19" t="s">
        <v>38</v>
      </c>
      <c r="C10" s="20">
        <f>SUMIF('03-CAPILLARIZZAZIONE calc'!C$2:C$42,B10,'03-CAPILLARIZZAZIONE calc'!M$2:M$42)</f>
        <v>19004.703368277311</v>
      </c>
      <c r="D10" s="20">
        <f>SUMIF('03-CAPILLARIZZAZIONE calc'!C$2:C$42,B10,'03-CAPILLARIZZAZIONE calc'!N$2:N$42)</f>
        <v>28475.118585544151</v>
      </c>
      <c r="E10" s="20">
        <f>SUMIF('03-CAPILLARIZZAZIONE calc'!C$2:C$42,B10,'03-CAPILLARIZZAZIONE calc'!O$2:O$42)</f>
        <v>37339.514837700968</v>
      </c>
    </row>
    <row r="11" spans="1:5" ht="31.5" x14ac:dyDescent="0.25">
      <c r="B11" s="19" t="s">
        <v>39</v>
      </c>
      <c r="C11" s="20">
        <f>SUMIF('03-CAPILLARIZZAZIONE calc'!C$2:C$42,B11,'03-CAPILLARIZZAZIONE calc'!M$2:M$42)</f>
        <v>33789.581103673438</v>
      </c>
      <c r="D11" s="20">
        <f>SUMIF('03-CAPILLARIZZAZIONE calc'!C$2:C$42,B11,'03-CAPILLARIZZAZIONE calc'!N$2:N$42)</f>
        <v>50627.589930659276</v>
      </c>
      <c r="E11" s="20">
        <f>SUMIF('03-CAPILLARIZZAZIONE calc'!C$2:C$42,B11,'03-CAPILLARIZZAZIONE calc'!O$2:O$42)</f>
        <v>66388.121957553099</v>
      </c>
    </row>
    <row r="12" spans="1:5" x14ac:dyDescent="0.25">
      <c r="B12" s="19" t="s">
        <v>40</v>
      </c>
      <c r="C12" s="20">
        <f>SUMIF('03-CAPILLARIZZAZIONE calc'!C$2:C$42,B12,'03-CAPILLARIZZAZIONE calc'!M$2:M$42)</f>
        <v>42124.745427766888</v>
      </c>
      <c r="D12" s="20">
        <f>SUMIF('03-CAPILLARIZZAZIONE calc'!C$2:C$42,B12,'03-CAPILLARIZZAZIONE calc'!N$2:N$42)</f>
        <v>63116.329584167062</v>
      </c>
      <c r="E12" s="20">
        <f>SUMIF('03-CAPILLARIZZAZIONE calc'!C$2:C$42,B12,'03-CAPILLARIZZAZIONE calc'!O$2:O$42)</f>
        <v>82764.646543233859</v>
      </c>
    </row>
    <row r="13" spans="1:5" x14ac:dyDescent="0.25">
      <c r="B13" s="19" t="s">
        <v>41</v>
      </c>
      <c r="C13" s="20">
        <f>SUMIF('03-CAPILLARIZZAZIONE calc'!C$2:C$42,B13,'03-CAPILLARIZZAZIONE calc'!M$2:M$42)</f>
        <v>45339.014677221261</v>
      </c>
      <c r="D13" s="20">
        <f>SUMIF('03-CAPILLARIZZAZIONE calc'!C$2:C$42,B13,'03-CAPILLARIZZAZIONE calc'!N$2:N$42)</f>
        <v>67932.332037373359</v>
      </c>
      <c r="E13" s="20">
        <f>SUMIF('03-CAPILLARIZZAZIONE calc'!C$2:C$42,B13,'03-CAPILLARIZZAZIONE calc'!O$2:O$42)</f>
        <v>89079.886092444809</v>
      </c>
    </row>
    <row r="14" spans="1:5" ht="31.5" x14ac:dyDescent="0.25">
      <c r="B14" s="19" t="s">
        <v>42</v>
      </c>
      <c r="C14" s="20">
        <f>SUMIF('03-CAPILLARIZZAZIONE calc'!C$2:C$42,B14,'03-CAPILLARIZZAZIONE calc'!M$2:M$42)</f>
        <v>125253.36268682368</v>
      </c>
      <c r="D14" s="20">
        <f>SUMIF('03-CAPILLARIZZAZIONE calc'!C$2:C$42,B14,'03-CAPILLARIZZAZIONE calc'!N$2:N$42)</f>
        <v>187669.56193059331</v>
      </c>
      <c r="E14" s="20">
        <f>SUMIF('03-CAPILLARIZZAZIONE calc'!C$2:C$42,B14,'03-CAPILLARIZZAZIONE calc'!O$2:O$42)</f>
        <v>246091.70182173341</v>
      </c>
    </row>
    <row r="15" spans="1:5" ht="31.5" x14ac:dyDescent="0.25">
      <c r="B15" s="19" t="s">
        <v>43</v>
      </c>
      <c r="C15" s="20">
        <f>SUMIF('03-CAPILLARIZZAZIONE calc'!C$2:C$42,B15,'03-CAPILLARIZZAZIONE calc'!M$2:M$42)</f>
        <v>12393.805875501754</v>
      </c>
      <c r="D15" s="20">
        <f>SUMIF('03-CAPILLARIZZAZIONE calc'!C$2:C$42,B15,'03-CAPILLARIZZAZIONE calc'!N$2:N$42)</f>
        <v>18569.881633628276</v>
      </c>
      <c r="E15" s="20">
        <f>SUMIF('03-CAPILLARIZZAZIONE calc'!C$2:C$42,B15,'03-CAPILLARIZZAZIONE calc'!O$2:O$42)</f>
        <v>24350.745676796738</v>
      </c>
    </row>
    <row r="16" spans="1:5" x14ac:dyDescent="0.25">
      <c r="B16" s="19" t="s">
        <v>44</v>
      </c>
      <c r="C16" s="20">
        <f>SUMIF('03-CAPILLARIZZAZIONE calc'!C$2:C$42,B16,'03-CAPILLARIZZAZIONE calc'!M$2:M$42)</f>
        <v>22797.803386219683</v>
      </c>
      <c r="D16" s="20">
        <f>SUMIF('03-CAPILLARIZZAZIONE calc'!C$2:C$42,B16,'03-CAPILLARIZZAZIONE calc'!N$2:N$42)</f>
        <v>34158.394494918641</v>
      </c>
      <c r="E16" s="20">
        <f>SUMIF('03-CAPILLARIZZAZIONE calc'!C$2:C$42,B16,'03-CAPILLARIZZAZIONE calc'!O$2:O$42)</f>
        <v>44792.012867070698</v>
      </c>
    </row>
    <row r="17" spans="2:5" x14ac:dyDescent="0.25">
      <c r="B17" s="19" t="s">
        <v>45</v>
      </c>
      <c r="C17" s="20">
        <f>SUMIF('03-CAPILLARIZZAZIONE calc'!C$2:C$42,B17,'03-CAPILLARIZZAZIONE calc'!M$2:M$42)</f>
        <v>22797.803386219683</v>
      </c>
      <c r="D17" s="20">
        <f>SUMIF('03-CAPILLARIZZAZIONE calc'!C$2:C$42,B17,'03-CAPILLARIZZAZIONE calc'!N$2:N$42)</f>
        <v>34158.394494918641</v>
      </c>
      <c r="E17" s="20">
        <f>SUMIF('03-CAPILLARIZZAZIONE calc'!C$2:C$42,B17,'03-CAPILLARIZZAZIONE calc'!O$2:O$42)</f>
        <v>44792.012867070698</v>
      </c>
    </row>
    <row r="18" spans="2:5" x14ac:dyDescent="0.25">
      <c r="B18" s="19" t="s">
        <v>46</v>
      </c>
      <c r="C18" s="20">
        <f>SUMIF('03-CAPILLARIZZAZIONE calc'!C$2:C$42,B18,'03-CAPILLARIZZAZIONE calc'!M$2:M$42)</f>
        <v>46341.347749324996</v>
      </c>
      <c r="D18" s="20">
        <f>SUMIF('03-CAPILLARIZZAZIONE calc'!C$2:C$42,B18,'03-CAPILLARIZZAZIONE calc'!N$2:N$42)</f>
        <v>69434.147274227202</v>
      </c>
      <c r="E18" s="20">
        <f>SUMIF('03-CAPILLARIZZAZIONE calc'!C$2:C$42,B18,'03-CAPILLARIZZAZIONE calc'!O$2:O$42)</f>
        <v>91049.221256107936</v>
      </c>
    </row>
    <row r="19" spans="2:5" x14ac:dyDescent="0.25">
      <c r="B19" s="19" t="s">
        <v>47</v>
      </c>
      <c r="C19" s="20">
        <f>SUMIF('03-CAPILLARIZZAZIONE calc'!C$2:C$42,B19,'03-CAPILLARIZZAZIONE calc'!M$2:M$42)</f>
        <v>15098.645885309927</v>
      </c>
      <c r="D19" s="20">
        <f>SUMIF('03-CAPILLARIZZAZIONE calc'!C$2:C$42,B19,'03-CAPILLARIZZAZIONE calc'!N$2:N$42)</f>
        <v>22622.59629808208</v>
      </c>
      <c r="E19" s="20">
        <f>SUMIF('03-CAPILLARIZZAZIONE calc'!C$2:C$42,B19,'03-CAPILLARIZZAZIONE calc'!O$2:O$42)</f>
        <v>29665.083486900341</v>
      </c>
    </row>
    <row r="20" spans="2:5" x14ac:dyDescent="0.25">
      <c r="B20" s="19" t="s">
        <v>48</v>
      </c>
      <c r="C20" s="20">
        <f>SUMIF('03-CAPILLARIZZAZIONE calc'!C$2:C$42,B20,'03-CAPILLARIZZAZIONE calc'!M$2:M$42)</f>
        <v>53993.166252304887</v>
      </c>
      <c r="D20" s="20">
        <f>SUMIF('03-CAPILLARIZZAZIONE calc'!C$2:C$42,B20,'03-CAPILLARIZZAZIONE calc'!N$2:N$42)</f>
        <v>80899.016525020648</v>
      </c>
      <c r="E20" s="20">
        <f>SUMIF('03-CAPILLARIZZAZIONE calc'!C$2:C$42,B20,'03-CAPILLARIZZAZIONE calc'!O$2:O$42)</f>
        <v>106083.1412805756</v>
      </c>
    </row>
    <row r="21" spans="2:5" x14ac:dyDescent="0.25">
      <c r="B21" s="19" t="s">
        <v>49</v>
      </c>
      <c r="C21" s="20">
        <f>SUMIF('03-CAPILLARIZZAZIONE calc'!C$2:C$42,B21,'03-CAPILLARIZZAZIONE calc'!M$2:M$42)</f>
        <v>33050.715878689989</v>
      </c>
      <c r="D21" s="20">
        <f>SUMIF('03-CAPILLARIZZAZIONE calc'!C$2:C$42,B21,'03-CAPILLARIZZAZIONE calc'!N$2:N$42)</f>
        <v>49520.533719760599</v>
      </c>
      <c r="E21" s="20">
        <f>SUMIF('03-CAPILLARIZZAZIONE calc'!C$2:C$42,B21,'03-CAPILLARIZZAZIONE calc'!O$2:O$42)</f>
        <v>64936.43557778134</v>
      </c>
    </row>
    <row r="22" spans="2:5" ht="31.5" x14ac:dyDescent="0.25">
      <c r="B22" s="19" t="s">
        <v>50</v>
      </c>
      <c r="C22" s="20">
        <f>SUMIF('03-CAPILLARIZZAZIONE calc'!C$2:C$42,B22,'03-CAPILLARIZZAZIONE calc'!M$2:M$42)</f>
        <v>12393.805875501754</v>
      </c>
      <c r="D22" s="20">
        <f>SUMIF('03-CAPILLARIZZAZIONE calc'!C$2:C$42,B22,'03-CAPILLARIZZAZIONE calc'!N$2:N$42)</f>
        <v>18569.881633628276</v>
      </c>
      <c r="E22" s="20">
        <f>SUMIF('03-CAPILLARIZZAZIONE calc'!C$2:C$42,B22,'03-CAPILLARIZZAZIONE calc'!O$2:O$42)</f>
        <v>24350.745676796738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H22"/>
  <sheetViews>
    <sheetView tabSelected="1" topLeftCell="B13" zoomScale="96" zoomScaleNormal="96" workbookViewId="0">
      <selection activeCell="I4" sqref="I4"/>
    </sheetView>
  </sheetViews>
  <sheetFormatPr defaultColWidth="8.625" defaultRowHeight="15.75" x14ac:dyDescent="0.25"/>
  <cols>
    <col min="1" max="1" width="9.125" style="1" hidden="1" customWidth="1"/>
    <col min="2" max="2" width="41.75" style="1" customWidth="1"/>
    <col min="3" max="3" width="17.375" style="1" customWidth="1"/>
    <col min="4" max="4" width="27" style="1" customWidth="1"/>
    <col min="5" max="7" width="23.625" style="1" customWidth="1"/>
    <col min="16363" max="16384" width="10.5" style="1" customWidth="1"/>
  </cols>
  <sheetData>
    <row r="1" spans="1:8" ht="36" customHeight="1" x14ac:dyDescent="0.25">
      <c r="A1" s="24" t="s">
        <v>24</v>
      </c>
      <c r="B1" s="18" t="s">
        <v>25</v>
      </c>
      <c r="C1" s="18" t="s">
        <v>111</v>
      </c>
      <c r="D1" s="18" t="s">
        <v>26</v>
      </c>
      <c r="E1" s="18" t="s">
        <v>104</v>
      </c>
      <c r="F1" s="18" t="s">
        <v>105</v>
      </c>
      <c r="G1" s="18" t="s">
        <v>106</v>
      </c>
    </row>
    <row r="2" spans="1:8" ht="33" customHeight="1" x14ac:dyDescent="0.25">
      <c r="A2" s="1" t="e">
        <f>CONCATENATE(#REF!,#REF!)</f>
        <v>#REF!</v>
      </c>
      <c r="B2" s="19" t="s">
        <v>30</v>
      </c>
      <c r="C2" s="20">
        <f>VLOOKUP(B2,'02-CAPACITA'!B$2:C$30,2,0)</f>
        <v>1299400</v>
      </c>
      <c r="D2" s="20">
        <f>VLOOKUP(B2,'01-FATTURATO'!B$2:C$30,2,0)</f>
        <v>722383.70799999998</v>
      </c>
      <c r="E2" s="20">
        <f>IF(VLOOKUP(B2,'02-CAPACITA'!B$2:G$30,4,0)+VLOOKUP(B2,'01-FATTURATO'!B$2:G$30,4,0)+VLOOKUP(B2,'03-CAPILLARIZZAZIONE'!B$2:E$30,2,0)&gt;C2,C2,VLOOKUP(B2,'02-CAPACITA'!B$2:G$30,4,0)+VLOOKUP(B2,'01-FATTURATO'!B$2:G$30,4,0)+VLOOKUP(B2,'03-CAPILLARIZZAZIONE'!B$2:E$30,2,0))</f>
        <v>820271.2144717779</v>
      </c>
      <c r="F2" s="20">
        <f>IF(VLOOKUP(B2,'02-CAPACITA'!B$2:G$30,5,0)+VLOOKUP(B2,'01-FATTURATO'!B$2:G$30,5,0)+VLOOKUP(B2,'03-CAPILLARIZZAZIONE'!B$2:E$30,3,0)&gt;C2,C2,VLOOKUP(B2,'02-CAPACITA'!B$2:G$30,5,0)+VLOOKUP(B2,'01-FATTURATO'!B$2:G$30,5,0)+VLOOKUP(B2,'03-CAPILLARIZZAZIONE'!B$2:E$30,3,0))</f>
        <v>808106.65980679018</v>
      </c>
      <c r="G2" s="20">
        <f>IF(VLOOKUP(B2,'02-CAPACITA'!B$2:G$30,6,0)+VLOOKUP(B2,'01-FATTURATO'!B$2:G$30,6,0)+VLOOKUP(B2,'03-CAPILLARIZZAZIONE'!B$2:E$30,4,0)&gt;C2,C2,VLOOKUP(B2,'02-CAPACITA'!B$2:G$30,6,0)+VLOOKUP(B2,'01-FATTURATO'!B$2:G$30,6,0)+VLOOKUP(B2,'03-CAPILLARIZZAZIONE'!B$2:E$30,4,0))</f>
        <v>783694.8539166312</v>
      </c>
      <c r="H2" s="30"/>
    </row>
    <row r="3" spans="1:8" ht="36" customHeight="1" x14ac:dyDescent="0.25">
      <c r="A3" s="1" t="e">
        <f>CONCATENATE(#REF!,#REF!)</f>
        <v>#REF!</v>
      </c>
      <c r="B3" s="19" t="s">
        <v>31</v>
      </c>
      <c r="C3" s="20">
        <f>VLOOKUP(B3,'02-CAPACITA'!B$2:C$30,2,0)</f>
        <v>829280</v>
      </c>
      <c r="D3" s="20">
        <f>VLOOKUP(B3,'01-FATTURATO'!B$2:C$30,2,0)</f>
        <v>800637.625</v>
      </c>
      <c r="E3" s="20">
        <f>IF(VLOOKUP(B3,'02-CAPACITA'!B$2:G$30,4,0)+VLOOKUP(B3,'01-FATTURATO'!B$2:G$30,4,0)+VLOOKUP(B3,'03-CAPILLARIZZAZIONE'!B$2:E$30,2,0)&gt;C3,C3,VLOOKUP(B3,'02-CAPACITA'!B$2:G$30,4,0)+VLOOKUP(B3,'01-FATTURATO'!B$2:G$30,4,0)+VLOOKUP(B3,'03-CAPILLARIZZAZIONE'!B$2:E$30,2,0))</f>
        <v>829280</v>
      </c>
      <c r="F3" s="20">
        <f>IF(VLOOKUP(B3,'02-CAPACITA'!B$2:G$30,5,0)+VLOOKUP(B3,'01-FATTURATO'!B$2:G$30,5,0)+VLOOKUP(B3,'03-CAPILLARIZZAZIONE'!B$2:E$30,3,0)&gt;C3,C3,VLOOKUP(B3,'02-CAPACITA'!B$2:G$30,5,0)+VLOOKUP(B3,'01-FATTURATO'!B$2:G$30,5,0)+VLOOKUP(B3,'03-CAPILLARIZZAZIONE'!B$2:E$30,3,0))</f>
        <v>829280</v>
      </c>
      <c r="G3" s="20">
        <f>IF(VLOOKUP(B3,'02-CAPACITA'!B$2:G$30,6,0)+VLOOKUP(B3,'01-FATTURATO'!B$2:G$30,6,0)+VLOOKUP(B3,'03-CAPILLARIZZAZIONE'!B$2:E$30,4,0)&gt;C3,C3,VLOOKUP(B3,'02-CAPACITA'!B$2:G$30,6,0)+VLOOKUP(B3,'01-FATTURATO'!B$2:G$30,6,0)+VLOOKUP(B3,'03-CAPILLARIZZAZIONE'!B$2:E$30,4,0))</f>
        <v>829280</v>
      </c>
      <c r="H3" s="30"/>
    </row>
    <row r="4" spans="1:8" ht="31.5" customHeight="1" x14ac:dyDescent="0.25">
      <c r="A4" s="1" t="e">
        <f>CONCATENATE(#REF!,#REF!)</f>
        <v>#REF!</v>
      </c>
      <c r="B4" s="19" t="s">
        <v>32</v>
      </c>
      <c r="C4" s="20">
        <f>VLOOKUP(B4,'02-CAPACITA'!B$2:C$30,2,0)</f>
        <v>1950560</v>
      </c>
      <c r="D4" s="20">
        <f>VLOOKUP(B4,'01-FATTURATO'!B$2:C$30,2,0)</f>
        <v>1154353.32</v>
      </c>
      <c r="E4" s="20">
        <f>IF(VLOOKUP(B4,'02-CAPACITA'!B$2:G$30,4,0)+VLOOKUP(B4,'01-FATTURATO'!B$2:G$30,4,0)+VLOOKUP(B4,'03-CAPILLARIZZAZIONE'!B$2:E$30,2,0)&gt;C4,C4,VLOOKUP(B4,'02-CAPACITA'!B$2:G$30,4,0)+VLOOKUP(B4,'01-FATTURATO'!B$2:G$30,4,0)+VLOOKUP(B4,'03-CAPILLARIZZAZIONE'!B$2:E$30,2,0))</f>
        <v>1284913.9994963708</v>
      </c>
      <c r="F4" s="20">
        <f>IF(VLOOKUP(B4,'02-CAPACITA'!B$2:G$30,5,0)+VLOOKUP(B4,'01-FATTURATO'!B$2:G$30,5,0)+VLOOKUP(B4,'03-CAPILLARIZZAZIONE'!B$2:E$30,3,0)&gt;C4,C4,VLOOKUP(B4,'02-CAPACITA'!B$2:G$30,5,0)+VLOOKUP(B4,'01-FATTURATO'!B$2:G$30,5,0)+VLOOKUP(B4,'03-CAPILLARIZZAZIONE'!B$2:E$30,3,0))</f>
        <v>1263827.7159495389</v>
      </c>
      <c r="G4" s="20">
        <f>IF(VLOOKUP(B4,'02-CAPACITA'!B$2:G$30,6,0)+VLOOKUP(B4,'01-FATTURATO'!B$2:G$30,6,0)+VLOOKUP(B4,'03-CAPILLARIZZAZIONE'!B$2:E$30,4,0)&gt;C4,C4,VLOOKUP(B4,'02-CAPACITA'!B$2:G$30,6,0)+VLOOKUP(B4,'01-FATTURATO'!B$2:G$30,6,0)+VLOOKUP(B4,'03-CAPILLARIZZAZIONE'!B$2:E$30,4,0))</f>
        <v>1223623.8419090584</v>
      </c>
      <c r="H4" s="30"/>
    </row>
    <row r="5" spans="1:8" ht="38.25" customHeight="1" x14ac:dyDescent="0.25">
      <c r="A5" s="1" t="e">
        <f>CONCATENATE(#REF!,#REF!)</f>
        <v>#REF!</v>
      </c>
      <c r="B5" s="19" t="s">
        <v>33</v>
      </c>
      <c r="C5" s="20">
        <f>VLOOKUP(B5,'02-CAPACITA'!B$2:C$30,2,0)</f>
        <v>365000</v>
      </c>
      <c r="D5" s="20">
        <f>VLOOKUP(B5,'01-FATTURATO'!B$2:C$30,2,0)</f>
        <v>267576.40000000002</v>
      </c>
      <c r="E5" s="20">
        <f>IF(VLOOKUP(B5,'02-CAPACITA'!B$2:G$30,4,0)+VLOOKUP(B5,'01-FATTURATO'!B$2:G$30,4,0)+VLOOKUP(B5,'03-CAPILLARIZZAZIONE'!B$2:E$30,2,0)&gt;C5,C5,VLOOKUP(B5,'02-CAPACITA'!B$2:G$30,4,0)+VLOOKUP(B5,'01-FATTURATO'!B$2:G$30,4,0)+VLOOKUP(B5,'03-CAPILLARIZZAZIONE'!B$2:E$30,2,0))</f>
        <v>297889.80312764825</v>
      </c>
      <c r="F5" s="20">
        <f>IF(VLOOKUP(B5,'02-CAPACITA'!B$2:G$30,5,0)+VLOOKUP(B5,'01-FATTURATO'!B$2:G$30,5,0)+VLOOKUP(B5,'03-CAPILLARIZZAZIONE'!B$2:E$30,3,0)&gt;C5,C5,VLOOKUP(B5,'02-CAPACITA'!B$2:G$30,5,0)+VLOOKUP(B5,'01-FATTURATO'!B$2:G$30,5,0)+VLOOKUP(B5,'03-CAPILLARIZZAZIONE'!B$2:E$30,3,0))</f>
        <v>300808.71491622954</v>
      </c>
      <c r="G5" s="20">
        <f>IF(VLOOKUP(B5,'02-CAPACITA'!B$2:G$30,6,0)+VLOOKUP(B5,'01-FATTURATO'!B$2:G$30,6,0)+VLOOKUP(B5,'03-CAPILLARIZZAZIONE'!B$2:E$30,4,0)&gt;C5,C5,VLOOKUP(B5,'02-CAPACITA'!B$2:G$30,6,0)+VLOOKUP(B5,'01-FATTURATO'!B$2:G$30,6,0)+VLOOKUP(B5,'03-CAPILLARIZZAZIONE'!B$2:E$30,4,0))</f>
        <v>299037.47441547579</v>
      </c>
      <c r="H5" s="30"/>
    </row>
    <row r="6" spans="1:8" ht="39.75" customHeight="1" x14ac:dyDescent="0.25">
      <c r="A6" s="1" t="e">
        <f>CONCATENATE(#REF!,#REF!)</f>
        <v>#REF!</v>
      </c>
      <c r="B6" s="19" t="s">
        <v>34</v>
      </c>
      <c r="C6" s="20">
        <f>VLOOKUP(B6,'02-CAPACITA'!B$2:C$30,2,0)</f>
        <v>429240</v>
      </c>
      <c r="D6" s="20">
        <f>VLOOKUP(B6,'01-FATTURATO'!B$2:C$30,2,0)</f>
        <v>337872.43099999998</v>
      </c>
      <c r="E6" s="20">
        <f>IF(VLOOKUP(B6,'02-CAPACITA'!B$2:G$30,4,0)+VLOOKUP(B6,'01-FATTURATO'!B$2:G$30,4,0)+VLOOKUP(B6,'03-CAPILLARIZZAZIONE'!B$2:E$30,2,0)&gt;C6,C6,VLOOKUP(B6,'02-CAPACITA'!B$2:G$30,4,0)+VLOOKUP(B6,'01-FATTURATO'!B$2:G$30,4,0)+VLOOKUP(B6,'03-CAPILLARIZZAZIONE'!B$2:E$30,2,0))</f>
        <v>365238.74693080707</v>
      </c>
      <c r="F6" s="20">
        <f>IF(VLOOKUP(B6,'02-CAPACITA'!B$2:G$30,5,0)+VLOOKUP(B6,'01-FATTURATO'!B$2:G$30,5,0)+VLOOKUP(B6,'03-CAPILLARIZZAZIONE'!B$2:E$30,3,0)&gt;C6,C6,VLOOKUP(B6,'02-CAPACITA'!B$2:G$30,5,0)+VLOOKUP(B6,'01-FATTURATO'!B$2:G$30,5,0)+VLOOKUP(B6,'03-CAPILLARIZZAZIONE'!B$2:E$30,3,0))</f>
        <v>366314.06172529026</v>
      </c>
      <c r="G6" s="20">
        <f>IF(VLOOKUP(B6,'02-CAPACITA'!B$2:G$30,6,0)+VLOOKUP(B6,'01-FATTURATO'!B$2:G$30,6,0)+VLOOKUP(B6,'03-CAPILLARIZZAZIONE'!B$2:E$30,4,0)&gt;C6,C6,VLOOKUP(B6,'02-CAPACITA'!B$2:G$30,6,0)+VLOOKUP(B6,'01-FATTURATO'!B$2:G$30,6,0)+VLOOKUP(B6,'03-CAPILLARIZZAZIONE'!B$2:E$30,4,0))</f>
        <v>361721.57221022266</v>
      </c>
      <c r="H6" s="30"/>
    </row>
    <row r="7" spans="1:8" ht="30.75" customHeight="1" x14ac:dyDescent="0.25">
      <c r="A7" s="1" t="e">
        <f>CONCATENATE(#REF!,#REF!)</f>
        <v>#REF!</v>
      </c>
      <c r="B7" s="19" t="s">
        <v>35</v>
      </c>
      <c r="C7" s="20">
        <f>VLOOKUP(B7,'02-CAPACITA'!B$2:C$30,2,0)</f>
        <v>429240</v>
      </c>
      <c r="D7" s="20">
        <f>VLOOKUP(B7,'01-FATTURATO'!B$2:C$30,2,0)</f>
        <v>419639.73499999999</v>
      </c>
      <c r="E7" s="20">
        <f>IF(VLOOKUP(B7,'02-CAPACITA'!B$2:G$30,4,0)+VLOOKUP(B7,'01-FATTURATO'!B$2:G$30,4,0)+VLOOKUP(B7,'03-CAPILLARIZZAZIONE'!B$2:E$30,2,0)&gt;C7,C7,VLOOKUP(B7,'02-CAPACITA'!B$2:G$30,4,0)+VLOOKUP(B7,'01-FATTURATO'!B$2:G$30,4,0)+VLOOKUP(B7,'03-CAPILLARIZZAZIONE'!B$2:E$30,2,0))</f>
        <v>429240</v>
      </c>
      <c r="F7" s="20">
        <f>IF(VLOOKUP(B7,'02-CAPACITA'!B$2:G$30,5,0)+VLOOKUP(B7,'01-FATTURATO'!B$2:G$30,5,0)+VLOOKUP(B7,'03-CAPILLARIZZAZIONE'!B$2:E$30,3,0)&gt;C7,C7,VLOOKUP(B7,'02-CAPACITA'!B$2:G$30,5,0)+VLOOKUP(B7,'01-FATTURATO'!B$2:G$30,5,0)+VLOOKUP(B7,'03-CAPILLARIZZAZIONE'!B$2:E$30,3,0))</f>
        <v>429240</v>
      </c>
      <c r="G7" s="20">
        <f>IF(VLOOKUP(B7,'02-CAPACITA'!B$2:G$30,6,0)+VLOOKUP(B7,'01-FATTURATO'!B$2:G$30,6,0)+VLOOKUP(B7,'03-CAPILLARIZZAZIONE'!B$2:E$30,4,0)&gt;C7,C7,VLOOKUP(B7,'02-CAPACITA'!B$2:G$30,6,0)+VLOOKUP(B7,'01-FATTURATO'!B$2:G$30,6,0)+VLOOKUP(B7,'03-CAPILLARIZZAZIONE'!B$2:E$30,4,0))</f>
        <v>422103.91555391479</v>
      </c>
      <c r="H7" s="30"/>
    </row>
    <row r="8" spans="1:8" ht="36" customHeight="1" x14ac:dyDescent="0.25">
      <c r="A8" s="1" t="e">
        <f>CONCATENATE(#REF!,#REF!)</f>
        <v>#REF!</v>
      </c>
      <c r="B8" s="19" t="s">
        <v>36</v>
      </c>
      <c r="C8" s="20">
        <f>VLOOKUP(B8,'02-CAPACITA'!B$2:C$30,2,0)</f>
        <v>1223480</v>
      </c>
      <c r="D8" s="20">
        <f>VLOOKUP(B8,'01-FATTURATO'!B$2:C$30,2,0)</f>
        <v>1099354.595</v>
      </c>
      <c r="E8" s="20">
        <f>IF(VLOOKUP(B8,'02-CAPACITA'!B$2:G$30,4,0)+VLOOKUP(B8,'01-FATTURATO'!B$2:G$30,4,0)+VLOOKUP(B8,'03-CAPILLARIZZAZIONE'!B$2:E$30,2,0)&gt;C8,C8,VLOOKUP(B8,'02-CAPACITA'!B$2:G$30,4,0)+VLOOKUP(B8,'01-FATTURATO'!B$2:G$30,4,0)+VLOOKUP(B8,'03-CAPILLARIZZAZIONE'!B$2:E$30,2,0))</f>
        <v>1128672.5491841566</v>
      </c>
      <c r="F8" s="20">
        <f>IF(VLOOKUP(B8,'02-CAPACITA'!B$2:G$30,5,0)+VLOOKUP(B8,'01-FATTURATO'!B$2:G$30,5,0)+VLOOKUP(B8,'03-CAPILLARIZZAZIONE'!B$2:E$30,3,0)&gt;C8,C8,VLOOKUP(B8,'02-CAPACITA'!B$2:G$30,5,0)+VLOOKUP(B8,'01-FATTURATO'!B$2:G$30,5,0)+VLOOKUP(B8,'03-CAPILLARIZZAZIONE'!B$2:E$30,3,0))</f>
        <v>1117873.8306112136</v>
      </c>
      <c r="G8" s="20">
        <f>IF(VLOOKUP(B8,'02-CAPACITA'!B$2:G$30,6,0)+VLOOKUP(B8,'01-FATTURATO'!B$2:G$30,6,0)+VLOOKUP(B8,'03-CAPILLARIZZAZIONE'!B$2:E$30,4,0)&gt;C8,C8,VLOOKUP(B8,'02-CAPACITA'!B$2:G$30,6,0)+VLOOKUP(B8,'01-FATTURATO'!B$2:G$30,6,0)+VLOOKUP(B8,'03-CAPILLARIZZAZIONE'!B$2:E$30,4,0))</f>
        <v>1090026.9340312146</v>
      </c>
      <c r="H8" s="30"/>
    </row>
    <row r="9" spans="1:8" ht="23.45" customHeight="1" x14ac:dyDescent="0.25">
      <c r="B9" s="19" t="s">
        <v>37</v>
      </c>
      <c r="C9" s="20">
        <f>VLOOKUP(B9,'02-CAPACITA'!B$2:C$30,2,0)</f>
        <v>3209080</v>
      </c>
      <c r="D9" s="20">
        <f>VLOOKUP(B9,'01-FATTURATO'!B$2:C$30,2,0)</f>
        <v>2502078.7779999999</v>
      </c>
      <c r="E9" s="20">
        <f>IF(VLOOKUP(B9,'02-CAPACITA'!B$2:G$30,4,0)+VLOOKUP(B9,'01-FATTURATO'!B$2:G$30,4,0)+VLOOKUP(B9,'03-CAPILLARIZZAZIONE'!B$2:E$30,2,0)&gt;C9,C9,VLOOKUP(B9,'02-CAPACITA'!B$2:G$30,4,0)+VLOOKUP(B9,'01-FATTURATO'!B$2:G$30,4,0)+VLOOKUP(B9,'03-CAPILLARIZZAZIONE'!B$2:E$30,2,0))</f>
        <v>2649503.3328968249</v>
      </c>
      <c r="F9" s="20">
        <f>IF(VLOOKUP(B9,'02-CAPACITA'!B$2:G$30,5,0)+VLOOKUP(B9,'01-FATTURATO'!B$2:G$30,5,0)+VLOOKUP(B9,'03-CAPILLARIZZAZIONE'!B$2:E$30,3,0)&gt;C9,C9,VLOOKUP(B9,'02-CAPACITA'!B$2:G$30,5,0)+VLOOKUP(B9,'01-FATTURATO'!B$2:G$30,5,0)+VLOOKUP(B9,'03-CAPILLARIZZAZIONE'!B$2:E$30,3,0))</f>
        <v>2627228.4527206183</v>
      </c>
      <c r="G9" s="20">
        <f>IF(VLOOKUP(B9,'02-CAPACITA'!B$2:G$30,6,0)+VLOOKUP(B9,'01-FATTURATO'!B$2:G$30,6,0)+VLOOKUP(B9,'03-CAPILLARIZZAZIONE'!B$2:E$30,4,0)&gt;C9,C9,VLOOKUP(B9,'02-CAPACITA'!B$2:G$30,6,0)+VLOOKUP(B9,'01-FATTURATO'!B$2:G$30,6,0)+VLOOKUP(B9,'03-CAPILLARIZZAZIONE'!B$2:E$30,4,0))</f>
        <v>2564832.2125971899</v>
      </c>
      <c r="H9" s="30"/>
    </row>
    <row r="10" spans="1:8" ht="24.6" customHeight="1" x14ac:dyDescent="0.25">
      <c r="B10" s="19" t="s">
        <v>38</v>
      </c>
      <c r="C10" s="20">
        <f>VLOOKUP(B10,'02-CAPACITA'!B$2:C$30,2,0)</f>
        <v>751170</v>
      </c>
      <c r="D10" s="20">
        <f>VLOOKUP(B10,'01-FATTURATO'!B$2:C$30,2,0)</f>
        <v>690762.67799999996</v>
      </c>
      <c r="E10" s="20">
        <f>IF(VLOOKUP(B10,'02-CAPACITA'!B$2:G$30,4,0)+VLOOKUP(B10,'01-FATTURATO'!B$2:G$30,4,0)+VLOOKUP(B10,'03-CAPILLARIZZAZIONE'!B$2:E$30,2,0)&gt;C10,C10,VLOOKUP(B10,'02-CAPACITA'!B$2:G$30,4,0)+VLOOKUP(B10,'01-FATTURATO'!B$2:G$30,4,0)+VLOOKUP(B10,'03-CAPILLARIZZAZIONE'!B$2:E$30,2,0))</f>
        <v>698125.04248988419</v>
      </c>
      <c r="F10" s="20">
        <f>IF(VLOOKUP(B10,'02-CAPACITA'!B$2:G$30,5,0)+VLOOKUP(B10,'01-FATTURATO'!B$2:G$30,5,0)+VLOOKUP(B10,'03-CAPILLARIZZAZIONE'!B$2:E$30,3,0)&gt;C10,C10,VLOOKUP(B10,'02-CAPACITA'!B$2:G$30,5,0)+VLOOKUP(B10,'01-FATTURATO'!B$2:G$30,5,0)+VLOOKUP(B10,'03-CAPILLARIZZAZIONE'!B$2:E$30,3,0))</f>
        <v>687399.33422157064</v>
      </c>
      <c r="G10" s="20">
        <f>IF(VLOOKUP(B10,'02-CAPACITA'!B$2:G$30,6,0)+VLOOKUP(B10,'01-FATTURATO'!B$2:G$30,6,0)+VLOOKUP(B10,'03-CAPILLARIZZAZIONE'!B$2:E$30,4,0)&gt;C10,C10,VLOOKUP(B10,'02-CAPACITA'!B$2:G$30,6,0)+VLOOKUP(B10,'01-FATTURATO'!B$2:G$30,6,0)+VLOOKUP(B10,'03-CAPILLARIZZAZIONE'!B$2:E$30,4,0))</f>
        <v>666262.4183970202</v>
      </c>
      <c r="H10" s="30"/>
    </row>
    <row r="11" spans="1:8" ht="31.5" x14ac:dyDescent="0.25">
      <c r="B11" s="19" t="s">
        <v>39</v>
      </c>
      <c r="C11" s="20">
        <f>VLOOKUP(B11,'02-CAPACITA'!B$2:C$30,2,0)</f>
        <v>1027919.4</v>
      </c>
      <c r="D11" s="20">
        <f>VLOOKUP(B11,'01-FATTURATO'!B$2:C$30,2,0)</f>
        <v>777769.88500000001</v>
      </c>
      <c r="E11" s="20">
        <f>IF(VLOOKUP(B11,'02-CAPACITA'!B$2:G$30,4,0)+VLOOKUP(B11,'01-FATTURATO'!B$2:G$30,4,0)+VLOOKUP(B11,'03-CAPILLARIZZAZIONE'!B$2:E$30,2,0)&gt;C11,C11,VLOOKUP(B11,'02-CAPACITA'!B$2:G$30,4,0)+VLOOKUP(B11,'01-FATTURATO'!B$2:G$30,4,0)+VLOOKUP(B11,'03-CAPILLARIZZAZIONE'!B$2:E$30,2,0))</f>
        <v>831019.10692120506</v>
      </c>
      <c r="F11" s="20">
        <f>IF(VLOOKUP(B11,'02-CAPACITA'!B$2:G$30,5,0)+VLOOKUP(B11,'01-FATTURATO'!B$2:G$30,5,0)+VLOOKUP(B11,'03-CAPILLARIZZAZIONE'!B$2:E$30,3,0)&gt;C11,C11,VLOOKUP(B11,'02-CAPACITA'!B$2:G$30,5,0)+VLOOKUP(B11,'01-FATTURATO'!B$2:G$30,5,0)+VLOOKUP(B11,'03-CAPILLARIZZAZIONE'!B$2:E$30,3,0))</f>
        <v>825080.63896095927</v>
      </c>
      <c r="G11" s="20">
        <f>IF(VLOOKUP(B11,'02-CAPACITA'!B$2:G$30,6,0)+VLOOKUP(B11,'01-FATTURATO'!B$2:G$30,6,0)+VLOOKUP(B11,'03-CAPILLARIZZAZIONE'!B$2:E$30,4,0)&gt;C11,C11,VLOOKUP(B11,'02-CAPACITA'!B$2:G$30,6,0)+VLOOKUP(B11,'01-FATTURATO'!B$2:G$30,6,0)+VLOOKUP(B11,'03-CAPILLARIZZAZIONE'!B$2:E$30,4,0))</f>
        <v>806523.43672757759</v>
      </c>
      <c r="H11" s="30"/>
    </row>
    <row r="12" spans="1:8" ht="22.5" customHeight="1" x14ac:dyDescent="0.25">
      <c r="B12" s="19" t="s">
        <v>40</v>
      </c>
      <c r="C12" s="20">
        <f>VLOOKUP(B12,'02-CAPACITA'!B$2:C$30,2,0)</f>
        <v>1078575</v>
      </c>
      <c r="D12" s="20">
        <f>VLOOKUP(B12,'01-FATTURATO'!B$2:C$30,2,0)</f>
        <v>1017143.17</v>
      </c>
      <c r="E12" s="20">
        <f>IF(VLOOKUP(B12,'02-CAPACITA'!B$2:G$30,4,0)+VLOOKUP(B12,'01-FATTURATO'!B$2:G$30,4,0)+VLOOKUP(B12,'03-CAPILLARIZZAZIONE'!B$2:E$30,2,0)&gt;C12,C12,VLOOKUP(B12,'02-CAPACITA'!B$2:G$30,4,0)+VLOOKUP(B12,'01-FATTURATO'!B$2:G$30,4,0)+VLOOKUP(B12,'03-CAPILLARIZZAZIONE'!B$2:E$30,2,0))</f>
        <v>1037204.0703700937</v>
      </c>
      <c r="F12" s="20">
        <f>IF(VLOOKUP(B12,'02-CAPACITA'!B$2:G$30,5,0)+VLOOKUP(B12,'01-FATTURATO'!B$2:G$30,5,0)+VLOOKUP(B12,'03-CAPILLARIZZAZIONE'!B$2:E$30,3,0)&gt;C12,C12,VLOOKUP(B12,'02-CAPACITA'!B$2:G$30,5,0)+VLOOKUP(B12,'01-FATTURATO'!B$2:G$30,5,0)+VLOOKUP(B12,'03-CAPILLARIZZAZIONE'!B$2:E$30,3,0))</f>
        <v>1028462.5177099542</v>
      </c>
      <c r="G12" s="20">
        <f>IF(VLOOKUP(B12,'02-CAPACITA'!B$2:G$30,6,0)+VLOOKUP(B12,'01-FATTURATO'!B$2:G$30,6,0)+VLOOKUP(B12,'03-CAPILLARIZZAZIONE'!B$2:E$30,4,0)&gt;C12,C12,VLOOKUP(B12,'02-CAPACITA'!B$2:G$30,6,0)+VLOOKUP(B12,'01-FATTURATO'!B$2:G$30,6,0)+VLOOKUP(B12,'03-CAPILLARIZZAZIONE'!B$2:E$30,4,0))</f>
        <v>1004015.3239502432</v>
      </c>
      <c r="H12" s="30"/>
    </row>
    <row r="13" spans="1:8" ht="21.75" customHeight="1" x14ac:dyDescent="0.25">
      <c r="B13" s="19" t="s">
        <v>41</v>
      </c>
      <c r="C13" s="20">
        <f>VLOOKUP(B13,'02-CAPACITA'!B$2:C$30,2,0)</f>
        <v>1870211.25</v>
      </c>
      <c r="D13" s="20">
        <f>VLOOKUP(B13,'01-FATTURATO'!B$2:C$30,2,0)</f>
        <v>797990.77</v>
      </c>
      <c r="E13" s="20">
        <f>IF(VLOOKUP(B13,'02-CAPACITA'!B$2:G$30,4,0)+VLOOKUP(B13,'01-FATTURATO'!B$2:G$30,4,0)+VLOOKUP(B13,'03-CAPILLARIZZAZIONE'!B$2:E$30,2,0)&gt;C13,C13,VLOOKUP(B13,'02-CAPACITA'!B$2:G$30,4,0)+VLOOKUP(B13,'01-FATTURATO'!B$2:G$30,4,0)+VLOOKUP(B13,'03-CAPILLARIZZAZIONE'!B$2:E$30,2,0))</f>
        <v>1009132.132960245</v>
      </c>
      <c r="F13" s="20">
        <f>IF(VLOOKUP(B13,'02-CAPACITA'!B$2:G$30,5,0)+VLOOKUP(B13,'01-FATTURATO'!B$2:G$30,5,0)+VLOOKUP(B13,'03-CAPILLARIZZAZIONE'!B$2:E$30,3,0)&gt;C13,C13,VLOOKUP(B13,'02-CAPACITA'!B$2:G$30,5,0)+VLOOKUP(B13,'01-FATTURATO'!B$2:G$30,5,0)+VLOOKUP(B13,'03-CAPILLARIZZAZIONE'!B$2:E$30,3,0))</f>
        <v>1008193.4372694842</v>
      </c>
      <c r="G13" s="20">
        <f>IF(VLOOKUP(B13,'02-CAPACITA'!B$2:G$30,6,0)+VLOOKUP(B13,'01-FATTURATO'!B$2:G$30,6,0)+VLOOKUP(B13,'03-CAPILLARIZZAZIONE'!B$2:E$30,4,0)&gt;C13,C13,VLOOKUP(B13,'02-CAPACITA'!B$2:G$30,6,0)+VLOOKUP(B13,'01-FATTURATO'!B$2:G$30,6,0)+VLOOKUP(B13,'03-CAPILLARIZZAZIONE'!B$2:E$30,4,0))</f>
        <v>991724.14528229798</v>
      </c>
      <c r="H13" s="30"/>
    </row>
    <row r="14" spans="1:8" ht="31.5" x14ac:dyDescent="0.25">
      <c r="B14" s="19" t="s">
        <v>42</v>
      </c>
      <c r="C14" s="20">
        <f>VLOOKUP(B14,'02-CAPACITA'!B$2:C$30,2,0)</f>
        <v>1515845</v>
      </c>
      <c r="D14" s="20">
        <f>VLOOKUP(B14,'01-FATTURATO'!B$2:C$30,2,0)</f>
        <v>1373109.69</v>
      </c>
      <c r="E14" s="20">
        <f>IF(VLOOKUP(B14,'02-CAPACITA'!B$2:G$30,4,0)+VLOOKUP(B14,'01-FATTURATO'!B$2:G$30,4,0)+VLOOKUP(B14,'03-CAPILLARIZZAZIONE'!B$2:E$30,2,0)&gt;C14,C14,VLOOKUP(B14,'02-CAPACITA'!B$2:G$30,4,0)+VLOOKUP(B14,'01-FATTURATO'!B$2:G$30,4,0)+VLOOKUP(B14,'03-CAPILLARIZZAZIONE'!B$2:E$30,2,0))</f>
        <v>1479271.5887299106</v>
      </c>
      <c r="F14" s="20">
        <f>IF(VLOOKUP(B14,'02-CAPACITA'!B$2:G$30,5,0)+VLOOKUP(B14,'01-FATTURATO'!B$2:G$30,5,0)+VLOOKUP(B14,'03-CAPILLARIZZAZIONE'!B$2:E$30,3,0)&gt;C14,C14,VLOOKUP(B14,'02-CAPACITA'!B$2:G$30,5,0)+VLOOKUP(B14,'01-FATTURATO'!B$2:G$30,5,0)+VLOOKUP(B14,'03-CAPILLARIZZAZIONE'!B$2:E$30,3,0))</f>
        <v>1501537.0546687183</v>
      </c>
      <c r="G14" s="20">
        <f>IF(VLOOKUP(B14,'02-CAPACITA'!B$2:G$30,6,0)+VLOOKUP(B14,'01-FATTURATO'!B$2:G$30,6,0)+VLOOKUP(B14,'03-CAPILLARIZZAZIONE'!B$2:E$30,4,0)&gt;C14,C14,VLOOKUP(B14,'02-CAPACITA'!B$2:G$30,6,0)+VLOOKUP(B14,'01-FATTURATO'!B$2:G$30,6,0)+VLOOKUP(B14,'03-CAPILLARIZZAZIONE'!B$2:E$30,4,0))</f>
        <v>1500255.2167669607</v>
      </c>
      <c r="H14" s="30"/>
    </row>
    <row r="15" spans="1:8" ht="31.5" x14ac:dyDescent="0.25">
      <c r="B15" s="19" t="s">
        <v>43</v>
      </c>
      <c r="C15" s="20">
        <f>VLOOKUP(B15,'02-CAPACITA'!B$2:C$30,2,0)</f>
        <v>521220</v>
      </c>
      <c r="D15" s="20">
        <f>VLOOKUP(B15,'01-FATTURATO'!B$2:C$30,2,0)</f>
        <v>97705.68</v>
      </c>
      <c r="E15" s="20">
        <f>IF(VLOOKUP(B15,'02-CAPACITA'!B$2:G$30,4,0)+VLOOKUP(B15,'01-FATTURATO'!B$2:G$30,4,0)+VLOOKUP(B15,'03-CAPILLARIZZAZIONE'!B$2:E$30,2,0)&gt;C15,C15,VLOOKUP(B15,'02-CAPACITA'!B$2:G$30,4,0)+VLOOKUP(B15,'01-FATTURATO'!B$2:G$30,4,0)+VLOOKUP(B15,'03-CAPILLARIZZAZIONE'!B$2:E$30,2,0))</f>
        <v>182656.12862139827</v>
      </c>
      <c r="F15" s="20">
        <f>IF(VLOOKUP(B15,'02-CAPACITA'!B$2:G$30,5,0)+VLOOKUP(B15,'01-FATTURATO'!B$2:G$30,5,0)+VLOOKUP(B15,'03-CAPILLARIZZAZIONE'!B$2:E$30,3,0)&gt;C15,C15,VLOOKUP(B15,'02-CAPACITA'!B$2:G$30,5,0)+VLOOKUP(B15,'01-FATTURATO'!B$2:G$30,5,0)+VLOOKUP(B15,'03-CAPILLARIZZAZIONE'!B$2:E$30,3,0))</f>
        <v>185892.41156712407</v>
      </c>
      <c r="G15" s="20">
        <f>IF(VLOOKUP(B15,'02-CAPACITA'!B$2:G$30,6,0)+VLOOKUP(B15,'01-FATTURATO'!B$2:G$30,6,0)+VLOOKUP(B15,'03-CAPILLARIZZAZIONE'!B$2:E$30,4,0)&gt;C15,C15,VLOOKUP(B15,'02-CAPACITA'!B$2:G$30,6,0)+VLOOKUP(B15,'01-FATTURATO'!B$2:G$30,6,0)+VLOOKUP(B15,'03-CAPILLARIZZAZIONE'!B$2:E$30,4,0))</f>
        <v>186205.04904532162</v>
      </c>
      <c r="H15" s="30"/>
    </row>
    <row r="16" spans="1:8" ht="31.5" x14ac:dyDescent="0.25">
      <c r="B16" s="19" t="s">
        <v>44</v>
      </c>
      <c r="C16" s="20">
        <f>VLOOKUP(B16,'02-CAPACITA'!B$2:C$30,2,0)</f>
        <v>1073100</v>
      </c>
      <c r="D16" s="20">
        <f>VLOOKUP(B16,'01-FATTURATO'!B$2:C$30,2,0)</f>
        <v>751964.04599999997</v>
      </c>
      <c r="E16" s="20">
        <f>IF(VLOOKUP(B16,'02-CAPACITA'!B$2:G$30,4,0)+VLOOKUP(B16,'01-FATTURATO'!B$2:G$30,4,0)+VLOOKUP(B16,'03-CAPILLARIZZAZIONE'!B$2:E$30,2,0)&gt;C16,C16,VLOOKUP(B16,'02-CAPACITA'!B$2:G$30,4,0)+VLOOKUP(B16,'01-FATTURATO'!B$2:G$30,4,0)+VLOOKUP(B16,'03-CAPILLARIZZAZIONE'!B$2:E$30,2,0))</f>
        <v>807753.50479886029</v>
      </c>
      <c r="F16" s="20">
        <f>IF(VLOOKUP(B16,'02-CAPACITA'!B$2:G$30,5,0)+VLOOKUP(B16,'01-FATTURATO'!B$2:G$30,5,0)+VLOOKUP(B16,'03-CAPILLARIZZAZIONE'!B$2:E$30,3,0)&gt;C16,C16,VLOOKUP(B16,'02-CAPACITA'!B$2:G$30,5,0)+VLOOKUP(B16,'01-FATTURATO'!B$2:G$30,5,0)+VLOOKUP(B16,'03-CAPILLARIZZAZIONE'!B$2:E$30,3,0))</f>
        <v>797077.44279981381</v>
      </c>
      <c r="G16" s="20">
        <f>IF(VLOOKUP(B16,'02-CAPACITA'!B$2:G$30,6,0)+VLOOKUP(B16,'01-FATTURATO'!B$2:G$30,6,0)+VLOOKUP(B16,'03-CAPILLARIZZAZIONE'!B$2:E$30,4,0)&gt;C16,C16,VLOOKUP(B16,'02-CAPACITA'!B$2:G$30,6,0)+VLOOKUP(B16,'01-FATTURATO'!B$2:G$30,6,0)+VLOOKUP(B16,'03-CAPILLARIZZAZIONE'!B$2:E$30,4,0))</f>
        <v>774297.97507774783</v>
      </c>
      <c r="H16" s="30"/>
    </row>
    <row r="17" spans="2:8" ht="31.5" x14ac:dyDescent="0.25">
      <c r="B17" s="19" t="s">
        <v>45</v>
      </c>
      <c r="C17" s="20">
        <f>VLOOKUP(B17,'02-CAPACITA'!B$2:C$30,2,0)</f>
        <v>1073100</v>
      </c>
      <c r="D17" s="20">
        <f>VLOOKUP(B17,'01-FATTURATO'!B$2:C$30,2,0)</f>
        <v>821097.9</v>
      </c>
      <c r="E17" s="20">
        <f>IF(VLOOKUP(B17,'02-CAPACITA'!B$2:G$30,4,0)+VLOOKUP(B17,'01-FATTURATO'!B$2:G$30,4,0)+VLOOKUP(B17,'03-CAPILLARIZZAZIONE'!B$2:E$30,2,0)&gt;C17,C17,VLOOKUP(B17,'02-CAPACITA'!B$2:G$30,4,0)+VLOOKUP(B17,'01-FATTURATO'!B$2:G$30,4,0)+VLOOKUP(B17,'03-CAPILLARIZZAZIONE'!B$2:E$30,2,0))</f>
        <v>862278.80944710271</v>
      </c>
      <c r="F17" s="20">
        <f>IF(VLOOKUP(B17,'02-CAPACITA'!B$2:G$30,5,0)+VLOOKUP(B17,'01-FATTURATO'!B$2:G$30,5,0)+VLOOKUP(B17,'03-CAPILLARIZZAZIONE'!B$2:E$30,3,0)&gt;C17,C17,VLOOKUP(B17,'02-CAPACITA'!B$2:G$30,5,0)+VLOOKUP(B17,'01-FATTURATO'!B$2:G$30,5,0)+VLOOKUP(B17,'03-CAPILLARIZZAZIONE'!B$2:E$30,3,0))</f>
        <v>849596.51201262325</v>
      </c>
      <c r="G17" s="20">
        <f>IF(VLOOKUP(B17,'02-CAPACITA'!B$2:G$30,6,0)+VLOOKUP(B17,'01-FATTURATO'!B$2:G$30,6,0)+VLOOKUP(B17,'03-CAPILLARIZZAZIONE'!B$2:E$30,4,0)&gt;C17,C17,VLOOKUP(B17,'02-CAPACITA'!B$2:G$30,6,0)+VLOOKUP(B17,'01-FATTURATO'!B$2:G$30,6,0)+VLOOKUP(B17,'03-CAPILLARIZZAZIONE'!B$2:E$30,4,0))</f>
        <v>824036.28190702526</v>
      </c>
      <c r="H17" s="30"/>
    </row>
    <row r="18" spans="2:8" ht="31.5" x14ac:dyDescent="0.25">
      <c r="B18" s="19" t="s">
        <v>46</v>
      </c>
      <c r="C18" s="20">
        <f>VLOOKUP(B18,'02-CAPACITA'!B$2:C$30,2,0)</f>
        <v>585825</v>
      </c>
      <c r="D18" s="20">
        <f>VLOOKUP(B18,'01-FATTURATO'!B$2:C$30,2,0)</f>
        <v>423214.755</v>
      </c>
      <c r="E18" s="20">
        <f>IF(VLOOKUP(B18,'02-CAPACITA'!B$2:G$30,4,0)+VLOOKUP(B18,'01-FATTURATO'!B$2:G$30,4,0)+VLOOKUP(B18,'03-CAPILLARIZZAZIONE'!B$2:E$30,2,0)&gt;C18,C18,VLOOKUP(B18,'02-CAPACITA'!B$2:G$30,4,0)+VLOOKUP(B18,'01-FATTURATO'!B$2:G$30,4,0)+VLOOKUP(B18,'03-CAPILLARIZZAZIONE'!B$2:E$30,2,0))</f>
        <v>484882.44265222811</v>
      </c>
      <c r="F18" s="20">
        <f>IF(VLOOKUP(B18,'02-CAPACITA'!B$2:G$30,5,0)+VLOOKUP(B18,'01-FATTURATO'!B$2:G$30,5,0)+VLOOKUP(B18,'03-CAPILLARIZZAZIONE'!B$2:E$30,3,0)&gt;C18,C18,VLOOKUP(B18,'02-CAPACITA'!B$2:G$30,5,0)+VLOOKUP(B18,'01-FATTURATO'!B$2:G$30,5,0)+VLOOKUP(B18,'03-CAPILLARIZZAZIONE'!B$2:E$30,3,0))</f>
        <v>495576.37039526016</v>
      </c>
      <c r="G18" s="20">
        <f>IF(VLOOKUP(B18,'02-CAPACITA'!B$2:G$30,6,0)+VLOOKUP(B18,'01-FATTURATO'!B$2:G$30,6,0)+VLOOKUP(B18,'03-CAPILLARIZZAZIONE'!B$2:E$30,4,0)&gt;C18,C18,VLOOKUP(B18,'02-CAPACITA'!B$2:G$30,6,0)+VLOOKUP(B18,'01-FATTURATO'!B$2:G$30,6,0)+VLOOKUP(B18,'03-CAPILLARIZZAZIONE'!B$2:E$30,4,0))</f>
        <v>498439.64478459628</v>
      </c>
      <c r="H18" s="30"/>
    </row>
    <row r="19" spans="2:8" ht="21.75" customHeight="1" x14ac:dyDescent="0.25">
      <c r="B19" s="19" t="s">
        <v>47</v>
      </c>
      <c r="C19" s="20">
        <f>VLOOKUP(B19,'02-CAPACITA'!B$2:C$30,2,0)</f>
        <v>763344.4</v>
      </c>
      <c r="D19" s="20">
        <f>VLOOKUP(B19,'01-FATTURATO'!B$2:C$30,2,0)</f>
        <v>94559.28</v>
      </c>
      <c r="E19" s="20">
        <f>IF(VLOOKUP(B19,'02-CAPACITA'!B$2:G$30,4,0)+VLOOKUP(B19,'01-FATTURATO'!B$2:G$30,4,0)+VLOOKUP(B19,'03-CAPILLARIZZAZIONE'!B$2:E$30,2,0)&gt;C19,C19,VLOOKUP(B19,'02-CAPACITA'!B$2:G$30,4,0)+VLOOKUP(B19,'01-FATTURATO'!B$2:G$30,4,0)+VLOOKUP(B19,'03-CAPILLARIZZAZIONE'!B$2:E$30,2,0))</f>
        <v>226175.22779716607</v>
      </c>
      <c r="F19" s="20">
        <f>IF(VLOOKUP(B19,'02-CAPACITA'!B$2:G$30,5,0)+VLOOKUP(B19,'01-FATTURATO'!B$2:G$30,5,0)+VLOOKUP(B19,'03-CAPILLARIZZAZIONE'!B$2:E$30,3,0)&gt;C19,C19,VLOOKUP(B19,'02-CAPACITA'!B$2:G$30,5,0)+VLOOKUP(B19,'01-FATTURATO'!B$2:G$30,5,0)+VLOOKUP(B19,'03-CAPILLARIZZAZIONE'!B$2:E$30,3,0))</f>
        <v>230802.18830174272</v>
      </c>
      <c r="G19" s="20">
        <f>IF(VLOOKUP(B19,'02-CAPACITA'!B$2:G$30,6,0)+VLOOKUP(B19,'01-FATTURATO'!B$2:G$30,6,0)+VLOOKUP(B19,'03-CAPILLARIZZAZIONE'!B$2:E$30,4,0)&gt;C19,C19,VLOOKUP(B19,'02-CAPACITA'!B$2:G$30,6,0)+VLOOKUP(B19,'01-FATTURATO'!B$2:G$30,6,0)+VLOOKUP(B19,'03-CAPILLARIZZAZIONE'!B$2:E$30,4,0))</f>
        <v>231788.4492431274</v>
      </c>
      <c r="H19" s="30"/>
    </row>
    <row r="20" spans="2:8" ht="31.5" x14ac:dyDescent="0.25">
      <c r="B20" s="19" t="s">
        <v>48</v>
      </c>
      <c r="C20" s="20">
        <f>VLOOKUP(B20,'02-CAPACITA'!B$2:C$30,2,0)</f>
        <v>1964000</v>
      </c>
      <c r="D20" s="20">
        <f>VLOOKUP(B20,'01-FATTURATO'!B$2:C$30,2,0)</f>
        <v>12450</v>
      </c>
      <c r="E20" s="20">
        <f>IF(VLOOKUP(B20,'02-CAPACITA'!B$2:G$30,4,0)+VLOOKUP(B20,'01-FATTURATO'!B$2:G$30,4,0)+VLOOKUP(B20,'03-CAPILLARIZZAZIONE'!B$2:E$30,2,0)&gt;C20,C20,VLOOKUP(B20,'02-CAPACITA'!B$2:G$30,4,0)+VLOOKUP(B20,'01-FATTURATO'!B$2:G$30,4,0)+VLOOKUP(B20,'03-CAPILLARIZZAZIONE'!B$2:E$30,2,0))</f>
        <v>415007.67151815712</v>
      </c>
      <c r="F20" s="20">
        <f>IF(VLOOKUP(B20,'02-CAPACITA'!B$2:G$30,5,0)+VLOOKUP(B20,'01-FATTURATO'!B$2:G$30,5,0)+VLOOKUP(B20,'03-CAPILLARIZZAZIONE'!B$2:E$30,3,0)&gt;C20,C20,VLOOKUP(B20,'02-CAPACITA'!B$2:G$30,5,0)+VLOOKUP(B20,'01-FATTURATO'!B$2:G$30,5,0)+VLOOKUP(B20,'03-CAPILLARIZZAZIONE'!B$2:E$30,3,0))</f>
        <v>441158.78376753739</v>
      </c>
      <c r="G20" s="20">
        <f>IF(VLOOKUP(B20,'02-CAPACITA'!B$2:G$30,6,0)+VLOOKUP(B20,'01-FATTURATO'!B$2:G$30,6,0)+VLOOKUP(B20,'03-CAPILLARIZZAZIONE'!B$2:E$30,4,0)&gt;C20,C20,VLOOKUP(B20,'02-CAPACITA'!B$2:G$30,6,0)+VLOOKUP(B20,'01-FATTURATO'!B$2:G$30,6,0)+VLOOKUP(B20,'03-CAPILLARIZZAZIONE'!B$2:E$30,4,0))</f>
        <v>460045.98173012037</v>
      </c>
      <c r="H20" s="30"/>
    </row>
    <row r="21" spans="2:8" ht="22.15" customHeight="1" x14ac:dyDescent="0.25">
      <c r="B21" s="19" t="s">
        <v>49</v>
      </c>
      <c r="C21" s="20">
        <f>VLOOKUP(B21,'02-CAPACITA'!B$2:C$30,2,0)</f>
        <v>444767.45</v>
      </c>
      <c r="D21" s="20">
        <f>VLOOKUP(B21,'01-FATTURATO'!B$2:C$30,2,0)</f>
        <v>94675.553</v>
      </c>
      <c r="E21" s="20">
        <f>IF(VLOOKUP(B21,'02-CAPACITA'!B$2:G$30,4,0)+VLOOKUP(B21,'01-FATTURATO'!B$2:G$30,4,0)+VLOOKUP(B21,'03-CAPILLARIZZAZIONE'!B$2:E$30,2,0)&gt;C21,C21,VLOOKUP(B21,'02-CAPACITA'!B$2:G$30,4,0)+VLOOKUP(B21,'01-FATTURATO'!B$2:G$30,4,0)+VLOOKUP(B21,'03-CAPILLARIZZAZIONE'!B$2:E$30,2,0))</f>
        <v>187252.23707587409</v>
      </c>
      <c r="F21" s="20">
        <f>IF(VLOOKUP(B21,'02-CAPACITA'!B$2:G$30,5,0)+VLOOKUP(B21,'01-FATTURATO'!B$2:G$30,5,0)+VLOOKUP(B21,'03-CAPILLARIZZAZIONE'!B$2:E$30,3,0)&gt;C21,C21,VLOOKUP(B21,'02-CAPACITA'!B$2:G$30,5,0)+VLOOKUP(B21,'01-FATTURATO'!B$2:G$30,5,0)+VLOOKUP(B21,'03-CAPILLARIZZAZIONE'!B$2:E$30,3,0))</f>
        <v>200885.51070726773</v>
      </c>
      <c r="G21" s="20">
        <f>IF(VLOOKUP(B21,'02-CAPACITA'!B$2:G$30,6,0)+VLOOKUP(B21,'01-FATTURATO'!B$2:G$30,6,0)+VLOOKUP(B21,'03-CAPILLARIZZAZIONE'!B$2:E$30,4,0)&gt;C21,C21,VLOOKUP(B21,'02-CAPACITA'!B$2:G$30,6,0)+VLOOKUP(B21,'01-FATTURATO'!B$2:G$30,6,0)+VLOOKUP(B21,'03-CAPILLARIZZAZIONE'!B$2:E$30,4,0))</f>
        <v>211180.69299913553</v>
      </c>
      <c r="H21" s="30"/>
    </row>
    <row r="22" spans="2:8" ht="31.5" x14ac:dyDescent="0.25">
      <c r="B22" s="19" t="s">
        <v>50</v>
      </c>
      <c r="C22" s="20">
        <f>VLOOKUP(B22,'02-CAPACITA'!B$2:C$30,2,0)</f>
        <v>52560</v>
      </c>
      <c r="D22" s="20">
        <f>VLOOKUP(B22,'01-FATTURATO'!B$2:C$30,2,0)</f>
        <v>0</v>
      </c>
      <c r="E22" s="20">
        <f>IF(VLOOKUP(B22,'02-CAPACITA'!B$2:G$30,4,0)+VLOOKUP(B22,'01-FATTURATO'!B$2:G$30,4,0)+VLOOKUP(B22,'03-CAPILLARIZZAZIONE'!B$2:E$30,2,0)&gt;C22,C22,VLOOKUP(B22,'02-CAPACITA'!B$2:G$30,4,0)+VLOOKUP(B22,'01-FATTURATO'!B$2:G$30,4,0)+VLOOKUP(B22,'03-CAPILLARIZZAZIONE'!B$2:E$30,2,0))</f>
        <v>21792.392717529387</v>
      </c>
      <c r="F22" s="20">
        <f>IF(VLOOKUP(B22,'02-CAPACITA'!B$2:G$30,5,0)+VLOOKUP(B22,'01-FATTURATO'!B$2:G$30,5,0)+VLOOKUP(B22,'03-CAPILLARIZZAZIONE'!B$2:E$30,3,0)&gt;C22,C22,VLOOKUP(B22,'02-CAPACITA'!B$2:G$30,5,0)+VLOOKUP(B22,'01-FATTURATO'!B$2:G$30,5,0)+VLOOKUP(B22,'03-CAPILLARIZZAZIONE'!B$2:E$30,3,0))</f>
        <v>27957.939234498921</v>
      </c>
      <c r="G22" s="20">
        <f>IF(VLOOKUP(B22,'02-CAPACITA'!B$2:G$30,6,0)+VLOOKUP(B22,'01-FATTURATO'!B$2:G$30,6,0)+VLOOKUP(B22,'03-CAPILLARIZZAZIONE'!B$2:E$30,4,0)&gt;C22,C22,VLOOKUP(B22,'02-CAPACITA'!B$2:G$30,6,0)+VLOOKUP(B22,'01-FATTURATO'!B$2:G$30,6,0)+VLOOKUP(B22,'03-CAPILLARIZZAZIONE'!B$2:E$30,4,0))</f>
        <v>33583.688334220671</v>
      </c>
      <c r="H22" s="30"/>
    </row>
  </sheetData>
  <autoFilter ref="A1:G22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7103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NUOVI</vt:lpstr>
      <vt:lpstr>00-BUDGET</vt:lpstr>
      <vt:lpstr>01-FATTURATO</vt:lpstr>
      <vt:lpstr>02-CAPACITA</vt:lpstr>
      <vt:lpstr>03-CAPILLARIZZAZIONE calc</vt:lpstr>
      <vt:lpstr>03-CAPILLARIZZAZIONE</vt:lpstr>
      <vt:lpstr>04 - TOTALE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dc:description/>
  <cp:lastModifiedBy>Alice Fanni</cp:lastModifiedBy>
  <cp:revision>167</cp:revision>
  <cp:lastPrinted>2019-07-19T06:54:47Z</cp:lastPrinted>
  <dcterms:created xsi:type="dcterms:W3CDTF">2018-06-01T11:02:31Z</dcterms:created>
  <dcterms:modified xsi:type="dcterms:W3CDTF">2024-11-05T13:47:45Z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